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filterPrivacy="1" showInkAnnotation="0" autoCompressPictures="0" defaultThemeVersion="124226"/>
  <bookViews>
    <workbookView xWindow="3840" yWindow="0" windowWidth="19320" windowHeight="15480"/>
  </bookViews>
  <sheets>
    <sheet name="Menu" sheetId="5" r:id="rId1"/>
    <sheet name="Oyster Crop Budget" sheetId="3" r:id="rId2"/>
    <sheet name="Line Item Notes" sheetId="2" r:id="rId3"/>
    <sheet name="Budget Evaluation" sheetId="4" r:id="rId4"/>
  </sheets>
  <definedNames>
    <definedName name="_xlnm.Print_Area" localSheetId="3">'Budget Evaluation'!$A$1:$E$57</definedName>
    <definedName name="_xlnm.Print_Area" localSheetId="2">'Line Item Notes'!$A$1:$J$57</definedName>
    <definedName name="_xlnm.Print_Area" localSheetId="0">Menu!$A$1:$Q$46</definedName>
    <definedName name="_xlnm.Print_Area" localSheetId="1">'Oyster Crop Budget'!$A$1:$F$130</definedName>
  </definedNames>
  <calcPr calcId="125725" concurrentCalc="0"/>
  <extLst>
    <ext xmlns:mx="http://schemas.microsoft.com/office/mac/excel/2008/main" uri="{7523E5D3-25F3-A5E0-1632-64F254C22452}">
      <mx:ArchID Flags="2"/>
    </ext>
  </extLst>
</workbook>
</file>

<file path=xl/calcChain.xml><?xml version="1.0" encoding="utf-8"?>
<calcChain xmlns="http://schemas.openxmlformats.org/spreadsheetml/2006/main">
  <c r="C58" i="3"/>
  <c r="C57"/>
  <c r="C56"/>
  <c r="C55"/>
  <c r="G48" i="2"/>
  <c r="C54" i="3"/>
  <c r="F10"/>
  <c r="G47" i="2"/>
  <c r="C53" i="3"/>
  <c r="G46" i="2"/>
  <c r="C52" i="3"/>
  <c r="C51"/>
  <c r="C50"/>
  <c r="C49"/>
  <c r="F52" i="2"/>
  <c r="D58" i="3"/>
  <c r="F51" i="2"/>
  <c r="D57" i="3"/>
  <c r="F50" i="2"/>
  <c r="D56" i="3"/>
  <c r="D49" i="2"/>
  <c r="F49"/>
  <c r="D55" i="3"/>
  <c r="F48" i="2"/>
  <c r="D54" i="3"/>
  <c r="F47" i="2"/>
  <c r="D53" i="3"/>
  <c r="F46" i="2"/>
  <c r="D52" i="3"/>
  <c r="F45" i="2"/>
  <c r="D51" i="3"/>
  <c r="F44" i="2"/>
  <c r="D50" i="3"/>
  <c r="F43" i="2"/>
  <c r="D49" i="3"/>
  <c r="H48" i="2"/>
  <c r="H47"/>
  <c r="C31" i="3"/>
  <c r="H46" i="2"/>
  <c r="I46"/>
  <c r="I47"/>
  <c r="I48"/>
  <c r="I51"/>
  <c r="I52"/>
  <c r="I49"/>
  <c r="I50"/>
  <c r="I43"/>
  <c r="I44"/>
  <c r="I45"/>
  <c r="I54"/>
  <c r="H51"/>
  <c r="H52"/>
  <c r="H49"/>
  <c r="H50"/>
  <c r="H43"/>
  <c r="H44"/>
  <c r="H45"/>
  <c r="H54"/>
  <c r="F12" i="3"/>
  <c r="F11"/>
  <c r="C71"/>
  <c r="F71"/>
  <c r="F73"/>
  <c r="F74"/>
  <c r="F75"/>
  <c r="F78"/>
  <c r="E71"/>
  <c r="E65"/>
  <c r="E67"/>
  <c r="E73"/>
  <c r="E74"/>
  <c r="E75"/>
  <c r="E76"/>
  <c r="E78"/>
  <c r="D41"/>
  <c r="F41"/>
  <c r="E41"/>
  <c r="B39" i="2"/>
  <c r="D39"/>
  <c r="H39"/>
  <c r="F40" i="3"/>
  <c r="G39" i="2"/>
  <c r="E40" i="3"/>
  <c r="D13" i="2"/>
  <c r="C22" i="3"/>
  <c r="F22"/>
  <c r="E22"/>
  <c r="C21"/>
  <c r="F21"/>
  <c r="E21"/>
  <c r="D31"/>
  <c r="E24" i="2"/>
  <c r="E25"/>
  <c r="E26"/>
  <c r="E27"/>
  <c r="E28"/>
  <c r="E29"/>
  <c r="D30" i="3"/>
  <c r="E20" i="2"/>
  <c r="J20"/>
  <c r="C25" i="3"/>
  <c r="D26"/>
  <c r="D25"/>
  <c r="C23"/>
  <c r="C24"/>
  <c r="D17"/>
  <c r="C14" i="2"/>
  <c r="E32" i="3"/>
  <c r="F33"/>
  <c r="E33"/>
  <c r="F47"/>
  <c r="C17"/>
  <c r="C46" i="4"/>
  <c r="F45" i="3"/>
  <c r="F46"/>
  <c r="C45" i="4"/>
  <c r="F27" i="3"/>
  <c r="F28"/>
  <c r="C38" i="4"/>
  <c r="C20" i="3"/>
  <c r="F32"/>
  <c r="E29"/>
  <c r="E12" i="2"/>
  <c r="E11"/>
  <c r="E10"/>
  <c r="E14"/>
  <c r="E13"/>
  <c r="F50" i="3"/>
  <c r="E50"/>
  <c r="E46"/>
  <c r="E45"/>
  <c r="E44"/>
  <c r="F43"/>
  <c r="E43"/>
  <c r="F42"/>
  <c r="E42"/>
  <c r="C44" i="4"/>
  <c r="A91" i="3"/>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C89"/>
  <c r="D89"/>
  <c r="E89"/>
  <c r="F89"/>
  <c r="F29"/>
  <c r="E28"/>
  <c r="E27"/>
  <c r="F24"/>
  <c r="E24"/>
  <c r="E23"/>
  <c r="F23"/>
  <c r="E30"/>
  <c r="E31"/>
  <c r="F53"/>
  <c r="E53"/>
  <c r="E54"/>
  <c r="F54"/>
  <c r="F31"/>
  <c r="C39" i="4"/>
  <c r="E17" i="3"/>
  <c r="F17"/>
  <c r="C36" i="4"/>
  <c r="E20" i="3"/>
  <c r="E25"/>
  <c r="E21" i="2"/>
  <c r="J21"/>
  <c r="C26" i="3"/>
  <c r="E26"/>
  <c r="E35"/>
  <c r="F20"/>
  <c r="C35" i="4"/>
  <c r="F25" i="3"/>
  <c r="F26"/>
  <c r="F35"/>
  <c r="H21" i="2"/>
  <c r="I21"/>
  <c r="H20"/>
  <c r="I20"/>
  <c r="C37" i="4"/>
  <c r="E47" i="3"/>
  <c r="C56" i="4"/>
  <c r="E37" i="3"/>
  <c r="C40" i="4"/>
  <c r="F37" i="3"/>
  <c r="F56"/>
  <c r="E56"/>
  <c r="F58"/>
  <c r="E58"/>
  <c r="F57"/>
  <c r="E57"/>
  <c r="F49"/>
  <c r="C48" i="4"/>
  <c r="F55" i="3"/>
  <c r="E55"/>
  <c r="F51"/>
  <c r="C49" i="4"/>
  <c r="E51" i="3"/>
  <c r="C43" i="4"/>
  <c r="E49" i="3"/>
  <c r="E52"/>
  <c r="F52"/>
  <c r="C50" i="4"/>
  <c r="F61" i="3"/>
  <c r="C54" i="4"/>
  <c r="E61" i="3"/>
  <c r="E80"/>
  <c r="E82"/>
  <c r="F80"/>
  <c r="C32" i="4"/>
  <c r="C26"/>
  <c r="C7"/>
  <c r="C20"/>
  <c r="C18"/>
  <c r="C16"/>
  <c r="C10"/>
  <c r="C21"/>
  <c r="C15"/>
  <c r="C9"/>
  <c r="C17"/>
  <c r="C11"/>
  <c r="C8"/>
  <c r="C12"/>
  <c r="C22"/>
  <c r="F82" i="3"/>
  <c r="A89"/>
</calcChain>
</file>

<file path=xl/comments1.xml><?xml version="1.0" encoding="utf-8"?>
<comments xmlns="http://schemas.openxmlformats.org/spreadsheetml/2006/main">
  <authors>
    <author>Author</author>
  </authors>
  <commentList>
    <comment ref="F9" authorId="0">
      <text>
        <r>
          <rPr>
            <sz val="9"/>
            <color indexed="81"/>
            <rFont val="Tahoma"/>
            <family val="2"/>
          </rPr>
          <t>Enter the number of oysters you plan to sell each year
*budget is based on sales between 50,000 and 250,000</t>
        </r>
      </text>
    </comment>
    <comment ref="F10" authorId="0">
      <text>
        <r>
          <rPr>
            <sz val="9"/>
            <color indexed="81"/>
            <rFont val="Tahoma"/>
            <family val="2"/>
          </rPr>
          <t>Number of seed needed based on mortality estimate entered and rounded to the nearest thousand</t>
        </r>
      </text>
    </comment>
    <comment ref="F11" authorId="0">
      <text>
        <r>
          <rPr>
            <sz val="9"/>
            <color indexed="81"/>
            <rFont val="Tahoma"/>
            <family val="2"/>
          </rPr>
          <t>Based on mortality rate entered and percentage of oysters harvested in year 1</t>
        </r>
      </text>
    </comment>
    <comment ref="F12" authorId="0">
      <text>
        <r>
          <rPr>
            <sz val="9"/>
            <color indexed="81"/>
            <rFont val="Tahoma"/>
            <family val="2"/>
          </rPr>
          <t>Based on mortality rate entered and percentage of oysters harvested in years 1 and 2 
=percentage of oysters harvested in year 2 (from the first crop) PLUS the percentage harvested in year 1 (from the second crop)</t>
        </r>
      </text>
    </comment>
    <comment ref="D17" authorId="0">
      <text>
        <r>
          <rPr>
            <sz val="9"/>
            <color indexed="81"/>
            <rFont val="Tahoma"/>
            <family val="2"/>
          </rPr>
          <t>Based on Average market price entered above</t>
        </r>
      </text>
    </comment>
    <comment ref="D20" authorId="0">
      <text>
        <r>
          <rPr>
            <sz val="9"/>
            <color indexed="81"/>
            <rFont val="Tahoma"/>
            <family val="2"/>
          </rPr>
          <t>Based on cost for 1/4 inch (8 mm) triploid seed</t>
        </r>
      </text>
    </comment>
    <comment ref="A23" authorId="0">
      <text>
        <r>
          <rPr>
            <sz val="9"/>
            <color indexed="81"/>
            <rFont val="Tahoma"/>
            <family val="2"/>
          </rPr>
          <t>http://www.irs.gov/pub/irs-pdf/p926.pdf</t>
        </r>
      </text>
    </comment>
    <comment ref="A24" authorId="0">
      <text>
        <r>
          <rPr>
            <sz val="9"/>
            <color indexed="81"/>
            <rFont val="Tahoma"/>
            <family val="2"/>
          </rPr>
          <t xml:space="preserve">This cost is based on payroll costs.
It will range from $2.00 to $6.00 per $100 of payroll.  
Cost will depend on the company and the exact description of what the insured does.  For example, is the work done on boats or on land.
This budget uses the average of $4.00 per $100 of payroll.
</t>
        </r>
      </text>
    </comment>
    <comment ref="A41" authorId="0">
      <text>
        <r>
          <rPr>
            <sz val="9"/>
            <color indexed="81"/>
            <rFont val="Tahoma"/>
            <family val="2"/>
          </rPr>
          <t>Vessel property insurance (sinking, burning, theft, etc) varies from 3% to 6% of hull value.
This budget uses an average of 4.5% multiplied by the cost of the boat.</t>
        </r>
      </text>
    </comment>
    <comment ref="A43" authorId="0">
      <text>
        <r>
          <rPr>
            <sz val="9"/>
            <color indexed="81"/>
            <rFont val="Tahoma"/>
            <family val="2"/>
          </rPr>
          <t>Cost is based on the amount of sales.  Minimum premium for farms with sales under $50,000 ranges from $300 to $500 (depending on the company) with limits of $500,000 or $1,000,000 per occurance.
This budget uses an average of $400 for the premium cost</t>
        </r>
      </text>
    </comment>
    <comment ref="A45" authorId="0">
      <text>
        <r>
          <rPr>
            <sz val="9"/>
            <color indexed="81"/>
            <rFont val="Tahoma"/>
            <family val="2"/>
          </rPr>
          <t>Reference: Virginia State Corporate Commission
http://www.scc.virginia.gov/publicforms/170/scc544.pdf</t>
        </r>
      </text>
    </comment>
    <comment ref="A48" authorId="0">
      <text>
        <r>
          <rPr>
            <sz val="9"/>
            <color indexed="81"/>
            <rFont val="Tahoma"/>
            <family val="2"/>
          </rPr>
          <t xml:space="preserve">
To view specifics, change capital costs and quantites (based on stocking density) you must open the </t>
        </r>
        <r>
          <rPr>
            <u/>
            <sz val="9"/>
            <color indexed="81"/>
            <rFont val="Tahoma"/>
            <family val="2"/>
          </rPr>
          <t>Line Item Notes worksheet</t>
        </r>
        <r>
          <rPr>
            <sz val="9"/>
            <color indexed="81"/>
            <rFont val="Tahoma"/>
            <family val="2"/>
          </rPr>
          <t xml:space="preserve"> by selecting the tab at the bottom of the screen
</t>
        </r>
      </text>
    </comment>
    <comment ref="C71" authorId="0">
      <text>
        <r>
          <rPr>
            <sz val="9"/>
            <color indexed="81"/>
            <rFont val="Tahoma"/>
            <family val="2"/>
          </rPr>
          <t xml:space="preserve">This number is based on an assumption of 2 acres per 100,000 oysters planted.
</t>
        </r>
        <r>
          <rPr>
            <b/>
            <sz val="9"/>
            <color indexed="81"/>
            <rFont val="Tahoma"/>
            <family val="2"/>
          </rPr>
          <t>Enter your leased oyster ground acreage</t>
        </r>
      </text>
    </comment>
    <comment ref="C76" authorId="0">
      <text>
        <r>
          <rPr>
            <sz val="9"/>
            <color indexed="81"/>
            <rFont val="Tahoma"/>
            <family val="2"/>
          </rPr>
          <t>If you added an upweller to your farm, change this number to "1"</t>
        </r>
      </text>
    </comment>
  </commentList>
</comments>
</file>

<file path=xl/comments2.xml><?xml version="1.0" encoding="utf-8"?>
<comments xmlns="http://schemas.openxmlformats.org/spreadsheetml/2006/main">
  <authors>
    <author>Author</author>
  </authors>
  <commentList>
    <comment ref="A7" authorId="0">
      <text>
        <r>
          <rPr>
            <b/>
            <sz val="9"/>
            <color indexed="81"/>
            <rFont val="Tahoma"/>
            <family val="2"/>
          </rPr>
          <t>Scale based on averages from shellfish survey employment data</t>
        </r>
      </text>
    </comment>
    <comment ref="A42" authorId="0">
      <text>
        <r>
          <rPr>
            <b/>
            <sz val="9"/>
            <color indexed="81"/>
            <rFont val="Tahoma"/>
            <family val="2"/>
          </rPr>
          <t>Reference:  IRS 
http://www.irs.gov/publications/p225/ch07.html#en_US_2010_publink1000218238
Table 7.1 for recovery period</t>
        </r>
      </text>
    </comment>
    <comment ref="B43" authorId="0">
      <text>
        <r>
          <rPr>
            <sz val="9"/>
            <color indexed="81"/>
            <rFont val="Tahoma"/>
            <family val="2"/>
          </rPr>
          <t>www.jettsmarine.com</t>
        </r>
      </text>
    </comment>
    <comment ref="B44" authorId="0">
      <text>
        <r>
          <rPr>
            <sz val="9"/>
            <color indexed="81"/>
            <rFont val="Tahoma"/>
            <family val="2"/>
          </rPr>
          <t>http://www.southern-tool.com/store/davit-5124_crane.php</t>
        </r>
      </text>
    </comment>
    <comment ref="A46" authorId="0">
      <text>
        <r>
          <rPr>
            <sz val="9"/>
            <color indexed="81"/>
            <rFont val="Tahoma"/>
            <family val="2"/>
          </rPr>
          <t>http://chesbayoysterco.blogspot.com/2009/12/specials-deals-used-gearbottom-line-its.html</t>
        </r>
      </text>
    </comment>
    <comment ref="B49" authorId="0">
      <text>
        <r>
          <rPr>
            <b/>
            <sz val="9"/>
            <color indexed="81"/>
            <rFont val="Tahoma"/>
            <family val="2"/>
          </rPr>
          <t>Reference: Thermo King
http://www.thermoking.com/dealerlocator/NADresults.asp?state=VA&amp;c=USA</t>
        </r>
      </text>
    </comment>
    <comment ref="B50" authorId="0">
      <text>
        <r>
          <rPr>
            <b/>
            <sz val="9"/>
            <color indexed="81"/>
            <rFont val="Tahoma"/>
            <family val="2"/>
          </rPr>
          <t xml:space="preserve">reference:  Kolpack
http://www.kolpak.com/products/chill-walk-ins/coolers-freezers/polar-pak-walk-in
</t>
        </r>
      </text>
    </comment>
    <comment ref="B51" authorId="0">
      <text>
        <r>
          <rPr>
            <b/>
            <sz val="9"/>
            <color indexed="81"/>
            <rFont val="Tahoma"/>
            <family val="2"/>
          </rPr>
          <t>Reference: Chesapeake Bay Oyster Company 
http://chesbayoysterco.blogspot.com/2010/02/upwelling-and-upwellers.html</t>
        </r>
      </text>
    </comment>
    <comment ref="B52" authorId="0">
      <text>
        <r>
          <rPr>
            <b/>
            <sz val="9"/>
            <color indexed="81"/>
            <rFont val="Tahoma"/>
            <family val="2"/>
          </rPr>
          <t>Reference: Chesapeake Bay Oyster Company
http://chesbayoysterco.blogspot.com/2009/03/quicktube-sorter.html</t>
        </r>
      </text>
    </comment>
  </commentList>
</comments>
</file>

<file path=xl/sharedStrings.xml><?xml version="1.0" encoding="utf-8"?>
<sst xmlns="http://schemas.openxmlformats.org/spreadsheetml/2006/main" count="272" uniqueCount="202">
  <si>
    <t>Cages</t>
  </si>
  <si>
    <t>Total Capital Investment</t>
  </si>
  <si>
    <t>Total Fixed Costs</t>
  </si>
  <si>
    <t>2. Operating Expenses</t>
  </si>
  <si>
    <t>Total Operating Expenses</t>
  </si>
  <si>
    <t>4. Fixed Costs</t>
  </si>
  <si>
    <t>Mortality Rate</t>
  </si>
  <si>
    <t>Truck</t>
  </si>
  <si>
    <t>Line Item</t>
  </si>
  <si>
    <t>Shellfish Aquaculture Permits</t>
  </si>
  <si>
    <t>APR</t>
  </si>
  <si>
    <t>% Down Payment</t>
  </si>
  <si>
    <t>PV of Loan Amount</t>
  </si>
  <si>
    <t>Unit</t>
  </si>
  <si>
    <t>1. Gross Receipts</t>
  </si>
  <si>
    <t>Shellfish Ground Leasing</t>
  </si>
  <si>
    <t xml:space="preserve">Item </t>
  </si>
  <si>
    <t>Sorter</t>
  </si>
  <si>
    <t>2.  Operating Expenses</t>
  </si>
  <si>
    <t xml:space="preserve"> </t>
  </si>
  <si>
    <t>4.  Fixed Costs</t>
  </si>
  <si>
    <t>Misc. Supplies</t>
  </si>
  <si>
    <t>Power washer</t>
  </si>
  <si>
    <t>Item</t>
  </si>
  <si>
    <t>Total</t>
  </si>
  <si>
    <t>Labor Calculations</t>
  </si>
  <si>
    <t>Fuel Calculations</t>
  </si>
  <si>
    <t>Annual expense for small farm</t>
  </si>
  <si>
    <t>No. Planted</t>
  </si>
  <si>
    <t>1 to 100,000</t>
  </si>
  <si>
    <t>100,000 to 200,000</t>
  </si>
  <si>
    <t>200,000 to 300,000</t>
  </si>
  <si>
    <t>300,000 to 400,000</t>
  </si>
  <si>
    <t>400,000 to 700,000</t>
  </si>
  <si>
    <t>1 lot per cage</t>
  </si>
  <si>
    <t>Key Assumptions</t>
  </si>
  <si>
    <t>Expendable Supplies</t>
  </si>
  <si>
    <t>Hours</t>
  </si>
  <si>
    <t>No. Employees</t>
  </si>
  <si>
    <t>Fuel (boat and truck)</t>
  </si>
  <si>
    <t>Manitenance (vehicle and equipment)</t>
  </si>
  <si>
    <t>Gear (cages and bags)</t>
  </si>
  <si>
    <t>Percentage of Total Annual Expenses</t>
  </si>
  <si>
    <t xml:space="preserve">Total cost of production based on budget = </t>
  </si>
  <si>
    <t>Ice for summer harvesting</t>
  </si>
  <si>
    <t>Boat (includes motor &amp; trailer)</t>
  </si>
  <si>
    <t>Davit crane with hand winch hoist</t>
  </si>
  <si>
    <t>START</t>
  </si>
  <si>
    <t>Seed cages</t>
  </si>
  <si>
    <t>3/16" mesh</t>
  </si>
  <si>
    <t>Grow-out bags</t>
  </si>
  <si>
    <t>3/8" mesh</t>
  </si>
  <si>
    <t>n/a</t>
  </si>
  <si>
    <t>Annual Per Unit Depreciation Expense</t>
  </si>
  <si>
    <t>Total Annual Depreciation</t>
  </si>
  <si>
    <t>Years for Cost Recovery (item fully expensed)</t>
  </si>
  <si>
    <t>Stocking Density (oysters per container)</t>
  </si>
  <si>
    <t>Small-Scale Cultchless Oyster Crop Budgets</t>
  </si>
  <si>
    <t>For Growers Marketing 50,000 to 250,000 Oysters per Year</t>
  </si>
  <si>
    <t>Estimated Costs and Returns per Crop of Oysters</t>
  </si>
  <si>
    <t>Oyster seed planted</t>
  </si>
  <si>
    <t>Year 1 harvest (crop 1)</t>
  </si>
  <si>
    <t>Year 2 harvest (crops 1 &amp; 2)</t>
  </si>
  <si>
    <t>% of total oysters harvested in Year 1</t>
  </si>
  <si>
    <t>% of total oysters harvested in Year 2</t>
  </si>
  <si>
    <t>Average market price</t>
  </si>
  <si>
    <t>Oyster mortality rate</t>
  </si>
  <si>
    <t>Quantity of Units</t>
  </si>
  <si>
    <t>Year 1</t>
  </si>
  <si>
    <t>Year 2</t>
  </si>
  <si>
    <t>My Farm</t>
  </si>
  <si>
    <t>Small-Scale: Marketing 50,000 to 250,000 Oysters per Year</t>
  </si>
  <si>
    <t>Cultchless (Single-Seed) Oyster Crop Budget</t>
  </si>
  <si>
    <t>Market oyster revenue</t>
  </si>
  <si>
    <t>Triploid oyster seed</t>
  </si>
  <si>
    <t>Full-time labor</t>
  </si>
  <si>
    <t>Part-time labor</t>
  </si>
  <si>
    <t>Employment tax (FICA)</t>
  </si>
  <si>
    <t>Workers' compensation</t>
  </si>
  <si>
    <t>Boat fuel</t>
  </si>
  <si>
    <t>Truck fuel</t>
  </si>
  <si>
    <t>Boat maintenance</t>
  </si>
  <si>
    <t>Truck maintenance</t>
  </si>
  <si>
    <r>
      <t xml:space="preserve">Misc. equipment maintenance </t>
    </r>
    <r>
      <rPr>
        <sz val="10"/>
        <rFont val="Arial"/>
      </rPr>
      <t>(upweller, sorter, pumps, etc.)</t>
    </r>
  </si>
  <si>
    <t>Expendable supplies (baskets, etc.)</t>
  </si>
  <si>
    <t xml:space="preserve">Misc. supplies </t>
  </si>
  <si>
    <t>Other (office supplies, electricity, etc.)</t>
  </si>
  <si>
    <t>3. Return Over Operating Expenses</t>
  </si>
  <si>
    <t>Annual interest on loan (boat, motor, trailer)</t>
  </si>
  <si>
    <t>Boat insurance</t>
  </si>
  <si>
    <t>Truck insurance</t>
  </si>
  <si>
    <t>Business liability insurance</t>
  </si>
  <si>
    <t>Legal fee (business entity structuring)</t>
  </si>
  <si>
    <t>LLC registration fee</t>
  </si>
  <si>
    <t>Accounting fees (tax accounting)</t>
  </si>
  <si>
    <t>Business property tax (boat)</t>
  </si>
  <si>
    <t>Depreciation Expense (Noncash)</t>
  </si>
  <si>
    <t>Hoist − hand winch</t>
  </si>
  <si>
    <t>Bags − seed</t>
  </si>
  <si>
    <t>Bags − grow-out</t>
  </si>
  <si>
    <t>Refrigeration unit − truck</t>
  </si>
  <si>
    <t>Refrigeration unit − cold room (10' x 10')</t>
  </si>
  <si>
    <t>Floating upweller</t>
  </si>
  <si>
    <t>Application fee (nonrefundable)</t>
  </si>
  <si>
    <t xml:space="preserve">Advertising cost − newspaper  </t>
  </si>
  <si>
    <t>Additional plat charge (if needed)</t>
  </si>
  <si>
    <t>Recording fee for each assignment &amp; plat</t>
  </si>
  <si>
    <t>Assignment fee for each assignment &amp; plat</t>
  </si>
  <si>
    <t>Commercial fisherman registration license</t>
  </si>
  <si>
    <t>Oyster aquaculture product owner's permit</t>
  </si>
  <si>
    <t>Oyster aquaculture harvester's permit</t>
  </si>
  <si>
    <t>Joint permit application for floating upweller</t>
  </si>
  <si>
    <t>6. Estimated Pretax Return to Land, Risk, and Management</t>
  </si>
  <si>
    <t>Single oyster</t>
  </si>
  <si>
    <t>Taxable total wages ($)</t>
  </si>
  <si>
    <t xml:space="preserve">Annual expense per $100 of payroll </t>
  </si>
  <si>
    <t>Startup cost</t>
  </si>
  <si>
    <t>Sum of 12 monthly payments</t>
  </si>
  <si>
    <t>Annual expense</t>
  </si>
  <si>
    <t>Annual expense (noncash)</t>
  </si>
  <si>
    <t>Per year</t>
  </si>
  <si>
    <t>Sensitivity Table</t>
  </si>
  <si>
    <t>Year 2 Pretax Return Sensitivity: Mortality and Market Price</t>
  </si>
  <si>
    <t>Market Price</t>
  </si>
  <si>
    <t>1 PT</t>
  </si>
  <si>
    <t>1 FT</t>
  </si>
  <si>
    <t>1 FT, 1 PT</t>
  </si>
  <si>
    <t>1 FT, 2 PT</t>
  </si>
  <si>
    <t>2 FT, 1 PT</t>
  </si>
  <si>
    <t>Miles per Gallon</t>
  </si>
  <si>
    <t>No. Gallons</t>
  </si>
  <si>
    <t>Cost per Gallon</t>
  </si>
  <si>
    <t>Weeks per Year</t>
  </si>
  <si>
    <t>Weekly Cost</t>
  </si>
  <si>
    <t xml:space="preserve">Annual Cost </t>
  </si>
  <si>
    <t>Approx. Cost</t>
  </si>
  <si>
    <t>Bushel baskets</t>
  </si>
  <si>
    <t>12 volt coolers (warm-water harvest)</t>
  </si>
  <si>
    <t>Other misc. (tags, thermometers, pumps, etc.)</t>
  </si>
  <si>
    <t>Includes: cable ties, hog rings, pvc, replacement protective gear (waders, gloves), small tools, replacement baskets, or totes</t>
  </si>
  <si>
    <t>Cost per cage</t>
  </si>
  <si>
    <t>Annual Interest Payments Year 1</t>
  </si>
  <si>
    <t>Annual Interest Payments Year 2</t>
  </si>
  <si>
    <t>Capital Items to Be Depreciated</t>
  </si>
  <si>
    <t>Seed bags</t>
  </si>
  <si>
    <t>Refrigeration unit for 8' truck bed</t>
  </si>
  <si>
    <t>Additional equipment</t>
  </si>
  <si>
    <t>Units Needed for This Pperation</t>
  </si>
  <si>
    <t>Table 1. Evaluating the line items based on percentage of total cost of the budget. Shows that labor (including workers' comp) and seed are the two biggest expenses.</t>
  </si>
  <si>
    <t>Labor (FT &amp; PT, FICA &amp; workers' comp)</t>
  </si>
  <si>
    <t>Misc. supplies</t>
  </si>
  <si>
    <t>Debt servicing (barge, motor, hoist)</t>
  </si>
  <si>
    <t>Insurance (boat, truck, business)</t>
  </si>
  <si>
    <t>Legal fees (structuring, LLC, accounting)</t>
  </si>
  <si>
    <t>Barge, motor, hoist</t>
  </si>
  <si>
    <t>Walk-in cold room (10' x 24')</t>
  </si>
  <si>
    <t>Nursery equipment (flupsy, sorter)</t>
  </si>
  <si>
    <t>5. Permitting &amp; Ground Leasing Costs (startup costs)</t>
  </si>
  <si>
    <t>Table 2. Cost of line items per market oyster.</t>
  </si>
  <si>
    <t>Cost per Market Oyster</t>
  </si>
  <si>
    <t>Labor (FT &amp; PT plus FICA)</t>
  </si>
  <si>
    <t>Rental amount (per acre, per year)</t>
  </si>
  <si>
    <t>Cost varies</t>
  </si>
  <si>
    <t>Per person, per year (hired labor)</t>
  </si>
  <si>
    <t xml:space="preserve">     TOTAL </t>
  </si>
  <si>
    <t xml:space="preserve">     TOTAL</t>
  </si>
  <si>
    <t>Gallons per Year</t>
  </si>
  <si>
    <t>Protective gear (gloves, foul weather, etc.)</t>
  </si>
  <si>
    <t>No. of Units</t>
  </si>
  <si>
    <t>Approx. Miles per Week</t>
  </si>
  <si>
    <t>Surveying − VMRC survey for lease assignment</t>
  </si>
  <si>
    <t>Annual expense (est.)</t>
  </si>
  <si>
    <r>
      <rPr>
        <b/>
        <sz val="12"/>
        <color indexed="8"/>
        <rFont val="Arial"/>
        <family val="2"/>
      </rPr>
      <t xml:space="preserve">Instructions: </t>
    </r>
    <r>
      <rPr>
        <sz val="12"/>
        <color indexed="8"/>
        <rFont val="Arial"/>
        <family val="2"/>
      </rPr>
      <t>Start by entering the target annual oyster sales. This sales number will be the basis to calculate expected costs and returns for Years 1 and 2 for a representative farm based on variables chosen with industry guidance. If you choose, most other variables in this worksheet (columns C &amp; D) can be changed; however, those that have the most impact are identified by a maroon color with a diagonal line hatch. Changes to the depreciation expenses must be made in the Line Item Notes worksheet by selecting that tab at the bottom of the screen. Many cells are locked to protect proper functioning of the spreadsheet. For a complete set of instructions, please see Virginia Cooperative Extension publication AAEC-40P, "Cultchless (Single-Seed) Oyster Crop Budgets for Virginia: 2013 User Manual," that accompanies these worksheets.</t>
    </r>
  </si>
  <si>
    <t>Price or Cost per Unit</t>
  </si>
  <si>
    <t>The following table uses the information in the spreadsheet to provide a range of returns in Year 2 based on mortality rate and market price. Red numbers in parentheses refer to negative returns. Keep in mind that costs associated with mariketing are not included.</t>
  </si>
  <si>
    <t>Unit Description</t>
  </si>
  <si>
    <t>Interest (boat, motor, trailer)</t>
  </si>
  <si>
    <t>Cost or Price</t>
  </si>
  <si>
    <t>Boat, motor, trailer</t>
  </si>
  <si>
    <t>Walk-in cooler (modular, self-contained, outside 10' x 10' unit)</t>
  </si>
  <si>
    <t xml:space="preserve">8' x 20' floating dock w/fanblade submersible pump; includes assembly (holds 1M)  </t>
  </si>
  <si>
    <t>To start modifying your budget, click on the START box or select the Oyster Crop Budget tab at the bottom of the screen.</t>
  </si>
  <si>
    <t>Cost or Price per Unit</t>
  </si>
  <si>
    <t xml:space="preserve">Hercules brand 8' slip-in box/body ($6,500) and refrigeration unit ($6,200)  </t>
  </si>
  <si>
    <t>Basic model: 7' 6" H, 9' 8" W, 9' 8" L, w/floor, 1 hp, med-temp, top-mounted unit; 26-gauge embossed, galvanized interior &amp; exterior; .100 smooth aluminum floor; 2 1/2" dial thermometer</t>
  </si>
  <si>
    <t>Quick tube sorter w/2 sorting tubes (seed &amp; market/submarket)</t>
  </si>
  <si>
    <t>(full-time [FT] = 2,080 hours; part-time [PT] = 960 hours)</t>
  </si>
  <si>
    <t>Numbert of Hours per Year</t>
  </si>
  <si>
    <t>No. FT Hours</t>
  </si>
  <si>
    <t>No. PT Hours</t>
  </si>
  <si>
    <t>Total No. Hours Used in Budget</t>
  </si>
  <si>
    <t>Periods (yrs)</t>
  </si>
  <si>
    <t>3' x 4' LowPro double-stack, 1" mesh with bridle</t>
  </si>
  <si>
    <t>Capital item (includes 21' Carolina skiff, 90 hp Yamaha; Venture trailer)</t>
  </si>
  <si>
    <t>21' Carolina skiff w/small console, stainless-steel steering wheel and 12-gal tank, 90 hp Yamaha; Venture trailer</t>
  </si>
  <si>
    <t>Up to 2,000 lb davit crane w/4WM2-K worm gear hand winch, galvanized finish</t>
  </si>
  <si>
    <t>Depreciation Expense (noncash)</t>
  </si>
  <si>
    <t xml:space="preserve">Target annual oyster sales </t>
  </si>
  <si>
    <t xml:space="preserve">     Total Permitting &amp; Ground Leasing Expenses</t>
  </si>
  <si>
    <t xml:space="preserve">     Total Annual Expenses</t>
  </si>
  <si>
    <t>Gallons per year</t>
  </si>
  <si>
    <t>Annual cost</t>
  </si>
</sst>
</file>

<file path=xl/styles.xml><?xml version="1.0" encoding="utf-8"?>
<styleSheet xmlns="http://schemas.openxmlformats.org/spreadsheetml/2006/main">
  <numFmts count="14">
    <numFmt numFmtId="5" formatCode="&quot;$&quot;#,##0_);\(&quot;$&quot;#,##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00"/>
    <numFmt numFmtId="165" formatCode="_(* #,##0_);_(* \(#,##0\);_(* &quot;-&quot;??_);_(@_)"/>
    <numFmt numFmtId="166" formatCode="&quot;$&quot;#,##0"/>
    <numFmt numFmtId="167" formatCode="0_);\(0\)"/>
    <numFmt numFmtId="168" formatCode=";\,;\,;\,"/>
    <numFmt numFmtId="169" formatCode="0.0%"/>
    <numFmt numFmtId="170" formatCode="0.000%"/>
    <numFmt numFmtId="171" formatCode="&quot;$&quot;#,##0.000"/>
  </numFmts>
  <fonts count="55">
    <font>
      <sz val="11"/>
      <color theme="1"/>
      <name val="Calibri"/>
      <family val="2"/>
      <scheme val="minor"/>
    </font>
    <font>
      <u/>
      <sz val="9.35"/>
      <color indexed="12"/>
      <name val="Calibri"/>
      <family val="2"/>
    </font>
    <font>
      <b/>
      <sz val="9"/>
      <color indexed="81"/>
      <name val="Tahoma"/>
      <family val="2"/>
    </font>
    <font>
      <sz val="10"/>
      <name val="Arial"/>
    </font>
    <font>
      <b/>
      <sz val="12"/>
      <name val="Arial"/>
      <family val="2"/>
    </font>
    <font>
      <sz val="12"/>
      <name val="Arial"/>
      <family val="2"/>
    </font>
    <font>
      <b/>
      <sz val="16"/>
      <color indexed="8"/>
      <name val="Arial"/>
      <family val="2"/>
    </font>
    <font>
      <b/>
      <sz val="10"/>
      <name val="Arial"/>
      <family val="2"/>
    </font>
    <font>
      <sz val="9"/>
      <color indexed="81"/>
      <name val="Tahoma"/>
      <family val="2"/>
    </font>
    <font>
      <b/>
      <sz val="11"/>
      <name val="Arial"/>
      <family val="2"/>
    </font>
    <font>
      <sz val="11"/>
      <name val="Arial"/>
      <family val="2"/>
    </font>
    <font>
      <i/>
      <sz val="11"/>
      <name val="Arial"/>
      <family val="2"/>
    </font>
    <font>
      <u/>
      <sz val="9"/>
      <color indexed="81"/>
      <name val="Tahoma"/>
      <family val="2"/>
    </font>
    <font>
      <b/>
      <u/>
      <sz val="9.35"/>
      <color indexed="12"/>
      <name val="Calibri"/>
      <family val="2"/>
    </font>
    <font>
      <sz val="8"/>
      <name val="Calibri"/>
      <family val="2"/>
    </font>
    <font>
      <sz val="8"/>
      <name val="Calibri"/>
      <family val="2"/>
    </font>
    <font>
      <sz val="8"/>
      <name val="Calibri"/>
      <family val="2"/>
    </font>
    <font>
      <sz val="12"/>
      <color indexed="8"/>
      <name val="Arial"/>
      <family val="2"/>
    </font>
    <font>
      <b/>
      <sz val="12"/>
      <color indexed="8"/>
      <name val="Arial"/>
      <family val="2"/>
    </font>
    <font>
      <sz val="11"/>
      <color theme="1"/>
      <name val="Calibri"/>
      <family val="2"/>
      <scheme val="minor"/>
    </font>
    <font>
      <sz val="11"/>
      <color theme="0"/>
      <name val="Calibri"/>
      <family val="2"/>
      <scheme val="minor"/>
    </font>
    <font>
      <u/>
      <sz val="11"/>
      <color theme="10"/>
      <name val="Calibri"/>
      <family val="2"/>
      <scheme val="minor"/>
    </font>
    <font>
      <b/>
      <sz val="11"/>
      <color theme="1"/>
      <name val="Calibri"/>
      <family val="2"/>
      <scheme val="minor"/>
    </font>
    <font>
      <sz val="10"/>
      <color theme="1"/>
      <name val="Arial"/>
      <family val="2"/>
    </font>
    <font>
      <b/>
      <sz val="10"/>
      <color theme="1"/>
      <name val="Arial"/>
      <family val="2"/>
    </font>
    <font>
      <sz val="10"/>
      <color rgb="FFFF0000"/>
      <name val="Arial"/>
      <family val="2"/>
    </font>
    <font>
      <sz val="12"/>
      <color theme="1"/>
      <name val="Arial"/>
      <family val="2"/>
    </font>
    <font>
      <b/>
      <sz val="12"/>
      <color theme="1"/>
      <name val="Arial"/>
      <family val="2"/>
    </font>
    <font>
      <sz val="12"/>
      <color rgb="FFFF0000"/>
      <name val="Arial"/>
      <family val="2"/>
    </font>
    <font>
      <sz val="11"/>
      <color theme="1"/>
      <name val="Arial"/>
      <family val="2"/>
    </font>
    <font>
      <b/>
      <sz val="11"/>
      <color theme="1"/>
      <name val="Arial"/>
      <family val="2"/>
    </font>
    <font>
      <b/>
      <u/>
      <sz val="10"/>
      <color theme="1"/>
      <name val="Arial"/>
      <family val="2"/>
    </font>
    <font>
      <u/>
      <sz val="10"/>
      <color theme="1"/>
      <name val="Arial"/>
      <family val="2"/>
    </font>
    <font>
      <b/>
      <sz val="14"/>
      <color theme="1"/>
      <name val="Arial"/>
      <family val="2"/>
    </font>
    <font>
      <sz val="12"/>
      <color theme="0" tint="-0.499984740745262"/>
      <name val="Arial"/>
      <family val="2"/>
    </font>
    <font>
      <b/>
      <sz val="16"/>
      <color theme="1"/>
      <name val="Arial"/>
      <family val="2"/>
    </font>
    <font>
      <b/>
      <sz val="12"/>
      <color theme="0"/>
      <name val="Arial"/>
      <family val="2"/>
    </font>
    <font>
      <b/>
      <sz val="16"/>
      <color theme="0"/>
      <name val="Arial"/>
      <family val="2"/>
    </font>
    <font>
      <b/>
      <sz val="11"/>
      <color theme="4" tint="-0.249977111117893"/>
      <name val="Arial"/>
      <family val="2"/>
    </font>
    <font>
      <sz val="10.5"/>
      <color theme="1"/>
      <name val="Arial"/>
      <family val="2"/>
    </font>
    <font>
      <i/>
      <sz val="10.5"/>
      <color theme="1"/>
      <name val="Arial"/>
      <family val="2"/>
    </font>
    <font>
      <b/>
      <sz val="10.5"/>
      <color theme="1"/>
      <name val="Arial"/>
      <family val="2"/>
    </font>
    <font>
      <sz val="16"/>
      <color theme="3"/>
      <name val="Arial"/>
      <family val="2"/>
    </font>
    <font>
      <sz val="16"/>
      <color theme="1"/>
      <name val="Arial"/>
      <family val="2"/>
    </font>
    <font>
      <b/>
      <sz val="12"/>
      <color theme="5" tint="-0.249977111117893"/>
      <name val="Arial"/>
      <family val="2"/>
    </font>
    <font>
      <sz val="12"/>
      <color theme="0"/>
      <name val="Arial"/>
      <family val="2"/>
    </font>
    <font>
      <sz val="14"/>
      <color theme="1"/>
      <name val="Arial"/>
      <family val="2"/>
    </font>
    <font>
      <sz val="14"/>
      <color theme="1"/>
      <name val="Calibri"/>
      <family val="2"/>
      <scheme val="minor"/>
    </font>
    <font>
      <sz val="16"/>
      <color theme="0"/>
      <name val="Arial"/>
      <family val="2"/>
    </font>
    <font>
      <i/>
      <sz val="12"/>
      <color theme="1"/>
      <name val="Arial"/>
      <family val="2"/>
    </font>
    <font>
      <b/>
      <sz val="14"/>
      <color theme="0"/>
      <name val="Arial"/>
    </font>
    <font>
      <b/>
      <sz val="11"/>
      <color theme="5" tint="-0.249977111117893"/>
      <name val="Arial"/>
    </font>
    <font>
      <u/>
      <sz val="11"/>
      <color theme="11"/>
      <name val="Calibri"/>
      <family val="2"/>
      <scheme val="minor"/>
    </font>
    <font>
      <b/>
      <sz val="14"/>
      <color indexed="8"/>
      <name val="Arial"/>
    </font>
    <font>
      <b/>
      <sz val="12"/>
      <color rgb="FFFF0000"/>
      <name val="Arial"/>
    </font>
  </fonts>
  <fills count="13">
    <fill>
      <patternFill patternType="none"/>
    </fill>
    <fill>
      <patternFill patternType="gray125"/>
    </fill>
    <fill>
      <patternFill patternType="solid">
        <fgColor indexed="65"/>
        <bgColor indexed="64"/>
      </patternFill>
    </fill>
    <fill>
      <patternFill patternType="solid">
        <fgColor theme="0" tint="-0.14999847407452621"/>
        <bgColor indexed="64"/>
      </patternFill>
    </fill>
    <fill>
      <patternFill patternType="solid">
        <fgColor theme="4" tint="-0.24994659260841701"/>
        <bgColor indexed="64"/>
      </patternFill>
    </fill>
    <fill>
      <patternFill patternType="solid">
        <fgColor theme="4" tint="-0.249977111117893"/>
        <bgColor indexed="64"/>
      </patternFill>
    </fill>
    <fill>
      <patternFill patternType="lightUp">
        <fgColor theme="0" tint="-0.24994659260841701"/>
        <bgColor indexed="65"/>
      </patternFill>
    </fill>
    <fill>
      <patternFill patternType="lightUp">
        <fgColor theme="0" tint="-0.24994659260841701"/>
        <bgColor theme="5" tint="-0.249977111117893"/>
      </patternFill>
    </fill>
    <fill>
      <patternFill patternType="lightUp">
        <fgColor theme="0" tint="-0.249977111117893"/>
        <bgColor rgb="FF800000"/>
      </patternFill>
    </fill>
    <fill>
      <patternFill patternType="lightUp">
        <fgColor theme="0" tint="-0.249977111117893"/>
        <bgColor theme="5" tint="-0.249977111117893"/>
      </patternFill>
    </fill>
    <fill>
      <patternFill patternType="solid">
        <fgColor theme="0"/>
        <bgColor indexed="64"/>
      </patternFill>
    </fill>
    <fill>
      <patternFill patternType="solid">
        <fgColor theme="4"/>
        <bgColor indexed="64"/>
      </patternFill>
    </fill>
    <fill>
      <patternFill patternType="lightUp">
        <fgColor theme="2" tint="-0.249977111117893"/>
        <bgColor rgb="FF800000"/>
      </patternFill>
    </fill>
  </fills>
  <borders count="46">
    <border>
      <left/>
      <right/>
      <top/>
      <bottom/>
      <diagonal/>
    </border>
    <border>
      <left/>
      <right/>
      <top/>
      <bottom style="double">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double">
        <color auto="1"/>
      </bottom>
      <diagonal/>
    </border>
    <border>
      <left/>
      <right/>
      <top style="medium">
        <color auto="1"/>
      </top>
      <bottom/>
      <diagonal/>
    </border>
    <border>
      <left style="medium">
        <color auto="1"/>
      </left>
      <right/>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right style="medium">
        <color auto="1"/>
      </right>
      <top style="medium">
        <color auto="1"/>
      </top>
      <bottom/>
      <diagonal/>
    </border>
    <border>
      <left style="medium">
        <color auto="1"/>
      </left>
      <right/>
      <top style="medium">
        <color auto="1"/>
      </top>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medium">
        <color auto="1"/>
      </left>
      <right/>
      <top/>
      <bottom style="medium">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s>
  <cellStyleXfs count="26">
    <xf numFmtId="0" fontId="0" fillId="0" borderId="0"/>
    <xf numFmtId="43" fontId="19" fillId="0" borderId="0" applyFont="0" applyFill="0" applyBorder="0" applyAlignment="0" applyProtection="0"/>
    <xf numFmtId="43" fontId="3" fillId="0" borderId="0" applyFont="0" applyFill="0" applyBorder="0" applyAlignment="0" applyProtection="0"/>
    <xf numFmtId="44" fontId="19"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alignment vertical="top"/>
      <protection locked="0"/>
    </xf>
    <xf numFmtId="0" fontId="21" fillId="0" borderId="0" applyNumberFormat="0" applyFill="0" applyBorder="0" applyAlignment="0" applyProtection="0"/>
    <xf numFmtId="0" fontId="3" fillId="0" borderId="0"/>
    <xf numFmtId="9" fontId="19" fillId="0" borderId="0" applyFont="0" applyFill="0" applyBorder="0" applyAlignment="0" applyProtection="0"/>
    <xf numFmtId="9" fontId="3" fillId="0" borderId="0" applyFon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cellStyleXfs>
  <cellXfs count="421">
    <xf numFmtId="0" fontId="0" fillId="0" borderId="0" xfId="0"/>
    <xf numFmtId="0" fontId="23" fillId="0" borderId="0" xfId="0" applyFont="1" applyBorder="1"/>
    <xf numFmtId="0" fontId="23" fillId="0" borderId="0" xfId="0" applyFont="1"/>
    <xf numFmtId="0" fontId="23" fillId="0" borderId="0" xfId="0" applyFont="1" applyBorder="1" applyAlignment="1">
      <alignment horizontal="right"/>
    </xf>
    <xf numFmtId="0" fontId="24" fillId="0" borderId="0" xfId="0" applyFont="1"/>
    <xf numFmtId="0" fontId="23" fillId="0" borderId="1" xfId="0" applyFont="1" applyFill="1" applyBorder="1" applyAlignment="1">
      <alignment horizontal="center"/>
    </xf>
    <xf numFmtId="0" fontId="24" fillId="0" borderId="0" xfId="0" applyFont="1" applyAlignment="1">
      <alignment wrapText="1"/>
    </xf>
    <xf numFmtId="0" fontId="23" fillId="0" borderId="0" xfId="0" applyFont="1" applyAlignment="1">
      <alignment wrapText="1"/>
    </xf>
    <xf numFmtId="0" fontId="25" fillId="0" borderId="0" xfId="0" applyFont="1" applyFill="1"/>
    <xf numFmtId="44" fontId="24" fillId="0" borderId="0" xfId="3" applyFont="1" applyAlignment="1">
      <alignment horizontal="right"/>
    </xf>
    <xf numFmtId="44" fontId="23" fillId="0" borderId="0" xfId="3" applyFont="1" applyAlignment="1">
      <alignment horizontal="right"/>
    </xf>
    <xf numFmtId="0" fontId="23" fillId="0" borderId="0" xfId="0" applyFont="1" applyBorder="1" applyAlignment="1"/>
    <xf numFmtId="0" fontId="23" fillId="0" borderId="0" xfId="0" applyFont="1" applyBorder="1" applyAlignment="1">
      <alignment wrapText="1"/>
    </xf>
    <xf numFmtId="0" fontId="23" fillId="0" borderId="0" xfId="0" applyFont="1" applyFill="1" applyBorder="1" applyAlignment="1">
      <alignment horizontal="center"/>
    </xf>
    <xf numFmtId="0" fontId="26" fillId="0" borderId="0" xfId="0" applyFont="1"/>
    <xf numFmtId="0" fontId="27" fillId="0" borderId="2" xfId="0" applyFont="1" applyBorder="1"/>
    <xf numFmtId="0" fontId="26" fillId="0" borderId="2" xfId="0" applyFont="1" applyBorder="1" applyAlignment="1">
      <alignment horizontal="right"/>
    </xf>
    <xf numFmtId="0" fontId="26" fillId="0" borderId="2" xfId="0" applyFont="1" applyBorder="1"/>
    <xf numFmtId="0" fontId="5" fillId="0" borderId="3" xfId="0" applyFont="1" applyBorder="1"/>
    <xf numFmtId="44" fontId="26" fillId="0" borderId="0" xfId="3" applyFont="1"/>
    <xf numFmtId="0" fontId="26" fillId="0" borderId="0" xfId="0" applyFont="1" applyBorder="1" applyAlignment="1">
      <alignment horizontal="center"/>
    </xf>
    <xf numFmtId="3" fontId="26" fillId="0" borderId="0" xfId="0" applyNumberFormat="1" applyFont="1" applyBorder="1" applyAlignment="1">
      <alignment horizontal="center"/>
    </xf>
    <xf numFmtId="42" fontId="26" fillId="0" borderId="0" xfId="0" applyNumberFormat="1" applyFont="1"/>
    <xf numFmtId="44" fontId="26" fillId="0" borderId="0" xfId="0" applyNumberFormat="1" applyFont="1"/>
    <xf numFmtId="42" fontId="26" fillId="0" borderId="0" xfId="0" applyNumberFormat="1" applyFont="1" applyFill="1" applyBorder="1"/>
    <xf numFmtId="0" fontId="26" fillId="0" borderId="0" xfId="0" applyFont="1" applyFill="1" applyBorder="1"/>
    <xf numFmtId="1" fontId="26" fillId="0" borderId="0" xfId="0" applyNumberFormat="1" applyFont="1" applyFill="1" applyBorder="1"/>
    <xf numFmtId="44" fontId="26" fillId="0" borderId="0" xfId="0" applyNumberFormat="1" applyFont="1" applyFill="1" applyBorder="1"/>
    <xf numFmtId="44" fontId="28" fillId="0" borderId="0" xfId="0" applyNumberFormat="1" applyFont="1"/>
    <xf numFmtId="0" fontId="27" fillId="0" borderId="0" xfId="0" applyFont="1"/>
    <xf numFmtId="0" fontId="3" fillId="0" borderId="0" xfId="0" applyFont="1" applyFill="1"/>
    <xf numFmtId="44" fontId="23" fillId="0" borderId="0" xfId="0" applyNumberFormat="1" applyFont="1" applyBorder="1"/>
    <xf numFmtId="0" fontId="4" fillId="0" borderId="4" xfId="0" applyFont="1" applyBorder="1" applyAlignment="1">
      <alignment horizontal="center" wrapText="1"/>
    </xf>
    <xf numFmtId="0" fontId="26" fillId="0" borderId="0" xfId="0" applyFont="1" applyAlignment="1">
      <alignment wrapText="1"/>
    </xf>
    <xf numFmtId="167" fontId="23" fillId="0" borderId="0" xfId="0" applyNumberFormat="1" applyFont="1" applyBorder="1"/>
    <xf numFmtId="37" fontId="23" fillId="0" borderId="0" xfId="3" applyNumberFormat="1" applyFont="1" applyFill="1" applyBorder="1" applyAlignment="1">
      <alignment horizontal="right"/>
    </xf>
    <xf numFmtId="8" fontId="3" fillId="0" borderId="0" xfId="0" applyNumberFormat="1" applyFont="1"/>
    <xf numFmtId="0" fontId="25" fillId="0" borderId="0" xfId="0" applyFont="1" applyFill="1" applyBorder="1" applyAlignment="1">
      <alignment wrapText="1"/>
    </xf>
    <xf numFmtId="0" fontId="25" fillId="0" borderId="0" xfId="0" applyFont="1" applyAlignment="1">
      <alignment wrapText="1"/>
    </xf>
    <xf numFmtId="0" fontId="3" fillId="0" borderId="0" xfId="0" applyFont="1" applyFill="1" applyBorder="1" applyAlignment="1">
      <alignment wrapText="1"/>
    </xf>
    <xf numFmtId="0" fontId="7" fillId="0" borderId="0" xfId="0" applyFont="1" applyFill="1" applyBorder="1" applyAlignment="1">
      <alignment wrapText="1"/>
    </xf>
    <xf numFmtId="0" fontId="29" fillId="0" borderId="0" xfId="0" applyFont="1" applyFill="1" applyBorder="1"/>
    <xf numFmtId="0" fontId="29" fillId="0" borderId="0" xfId="0" applyFont="1" applyBorder="1"/>
    <xf numFmtId="1" fontId="29" fillId="0" borderId="0" xfId="0" applyNumberFormat="1" applyFont="1" applyBorder="1"/>
    <xf numFmtId="164" fontId="29" fillId="0" borderId="0" xfId="0" applyNumberFormat="1" applyFont="1" applyBorder="1"/>
    <xf numFmtId="166" fontId="30" fillId="0" borderId="0" xfId="0" applyNumberFormat="1" applyFont="1" applyBorder="1"/>
    <xf numFmtId="1" fontId="29" fillId="0" borderId="0" xfId="0" applyNumberFormat="1" applyFont="1"/>
    <xf numFmtId="0" fontId="29" fillId="0" borderId="0" xfId="0" applyFont="1" applyFill="1" applyBorder="1" applyAlignment="1">
      <alignment horizontal="right"/>
    </xf>
    <xf numFmtId="166" fontId="29" fillId="0" borderId="0" xfId="0" applyNumberFormat="1" applyFont="1" applyBorder="1" applyAlignment="1">
      <alignment horizontal="right"/>
    </xf>
    <xf numFmtId="164" fontId="30" fillId="0" borderId="0" xfId="0" applyNumberFormat="1" applyFont="1" applyFill="1" applyBorder="1"/>
    <xf numFmtId="166" fontId="29" fillId="0" borderId="0" xfId="0" applyNumberFormat="1" applyFont="1" applyFill="1" applyBorder="1"/>
    <xf numFmtId="0" fontId="31" fillId="0" borderId="0" xfId="0" applyFont="1" applyAlignment="1">
      <alignment horizontal="right" wrapText="1"/>
    </xf>
    <xf numFmtId="166" fontId="23" fillId="0" borderId="0" xfId="0" applyNumberFormat="1" applyFont="1" applyBorder="1" applyAlignment="1">
      <alignment horizontal="right"/>
    </xf>
    <xf numFmtId="0" fontId="5" fillId="0" borderId="3" xfId="0" applyFont="1" applyFill="1" applyBorder="1"/>
    <xf numFmtId="0" fontId="29" fillId="0" borderId="0" xfId="0" applyFont="1" applyAlignment="1">
      <alignment horizontal="center"/>
    </xf>
    <xf numFmtId="0" fontId="5" fillId="0" borderId="3" xfId="0" applyFont="1" applyBorder="1" applyAlignment="1">
      <alignment horizontal="left"/>
    </xf>
    <xf numFmtId="0" fontId="5" fillId="0" borderId="3" xfId="0" applyFont="1" applyBorder="1" applyAlignment="1">
      <alignment horizontal="right"/>
    </xf>
    <xf numFmtId="0" fontId="4" fillId="0" borderId="3" xfId="0" applyFont="1" applyBorder="1"/>
    <xf numFmtId="3" fontId="5" fillId="0" borderId="3" xfId="0" applyNumberFormat="1" applyFont="1" applyBorder="1" applyAlignment="1">
      <alignment horizontal="right"/>
    </xf>
    <xf numFmtId="0" fontId="4" fillId="0" borderId="3" xfId="0" applyFont="1" applyBorder="1" applyAlignment="1">
      <alignment horizontal="right"/>
    </xf>
    <xf numFmtId="0" fontId="31" fillId="0" borderId="0" xfId="0" applyFont="1" applyFill="1" applyBorder="1" applyAlignment="1">
      <alignment horizontal="center"/>
    </xf>
    <xf numFmtId="0" fontId="26" fillId="0" borderId="3" xfId="0" applyFont="1" applyBorder="1" applyAlignment="1">
      <alignment horizontal="right"/>
    </xf>
    <xf numFmtId="44" fontId="30" fillId="0" borderId="0" xfId="3" applyFont="1" applyBorder="1"/>
    <xf numFmtId="0" fontId="23" fillId="0" borderId="6" xfId="0" applyFont="1" applyBorder="1" applyAlignment="1">
      <alignment wrapText="1"/>
    </xf>
    <xf numFmtId="0" fontId="31" fillId="0" borderId="0" xfId="0" applyFont="1" applyBorder="1" applyAlignment="1">
      <alignment horizontal="center" wrapText="1"/>
    </xf>
    <xf numFmtId="0" fontId="27" fillId="0" borderId="11" xfId="0" applyFont="1" applyBorder="1" applyAlignment="1">
      <alignment wrapText="1"/>
    </xf>
    <xf numFmtId="165" fontId="5" fillId="0" borderId="3" xfId="1" applyNumberFormat="1" applyFont="1" applyFill="1" applyBorder="1" applyAlignment="1">
      <alignment horizontal="right"/>
    </xf>
    <xf numFmtId="0" fontId="30" fillId="0" borderId="0" xfId="0" applyFont="1" applyBorder="1"/>
    <xf numFmtId="168" fontId="29" fillId="0" borderId="0" xfId="0" applyNumberFormat="1" applyFont="1" applyBorder="1"/>
    <xf numFmtId="9" fontId="30" fillId="0" borderId="0" xfId="8" applyFont="1" applyBorder="1" applyAlignment="1">
      <alignment horizontal="center"/>
    </xf>
    <xf numFmtId="6" fontId="29" fillId="0" borderId="0" xfId="3" applyNumberFormat="1" applyFont="1" applyBorder="1"/>
    <xf numFmtId="6" fontId="29" fillId="0" borderId="0" xfId="0" applyNumberFormat="1" applyFont="1" applyBorder="1"/>
    <xf numFmtId="0" fontId="29" fillId="0" borderId="0" xfId="0" applyFont="1" applyBorder="1" applyAlignment="1">
      <alignment horizontal="center"/>
    </xf>
    <xf numFmtId="10" fontId="29" fillId="0" borderId="0" xfId="0" applyNumberFormat="1" applyFont="1" applyBorder="1"/>
    <xf numFmtId="166" fontId="29" fillId="0" borderId="0" xfId="0" applyNumberFormat="1" applyFont="1" applyBorder="1"/>
    <xf numFmtId="0" fontId="24" fillId="0" borderId="0" xfId="0" applyFont="1" applyBorder="1" applyAlignment="1">
      <alignment wrapText="1"/>
    </xf>
    <xf numFmtId="0" fontId="3" fillId="0" borderId="0" xfId="0" applyFont="1" applyBorder="1" applyAlignment="1">
      <alignment wrapText="1"/>
    </xf>
    <xf numFmtId="0" fontId="0" fillId="0" borderId="0" xfId="0" applyBorder="1" applyAlignment="1">
      <alignment horizontal="center"/>
    </xf>
    <xf numFmtId="0" fontId="5" fillId="0" borderId="3" xfId="0" applyFont="1" applyFill="1" applyBorder="1" applyAlignment="1">
      <alignment wrapText="1"/>
    </xf>
    <xf numFmtId="0" fontId="5" fillId="0" borderId="3" xfId="0" applyFont="1" applyBorder="1" applyAlignment="1">
      <alignment horizontal="right" wrapText="1"/>
    </xf>
    <xf numFmtId="0" fontId="31" fillId="0" borderId="0" xfId="0" applyFont="1" applyBorder="1" applyAlignment="1">
      <alignment horizontal="left" wrapText="1"/>
    </xf>
    <xf numFmtId="44" fontId="31" fillId="0" borderId="0" xfId="3" applyFont="1" applyBorder="1" applyAlignment="1">
      <alignment horizontal="left"/>
    </xf>
    <xf numFmtId="0" fontId="31" fillId="0" borderId="0" xfId="0" applyFont="1" applyBorder="1" applyAlignment="1">
      <alignment horizontal="left"/>
    </xf>
    <xf numFmtId="0" fontId="33" fillId="0" borderId="0" xfId="0" applyFont="1" applyBorder="1" applyAlignment="1">
      <alignment wrapText="1"/>
    </xf>
    <xf numFmtId="44" fontId="24" fillId="0" borderId="0" xfId="3" applyFont="1" applyBorder="1" applyAlignment="1">
      <alignment horizontal="right"/>
    </xf>
    <xf numFmtId="0" fontId="24" fillId="0" borderId="0" xfId="0" applyFont="1" applyBorder="1"/>
    <xf numFmtId="0" fontId="33" fillId="0" borderId="0" xfId="0" applyFont="1" applyAlignment="1">
      <alignment horizontal="left" wrapText="1"/>
    </xf>
    <xf numFmtId="42" fontId="23" fillId="0" borderId="0" xfId="0" applyNumberFormat="1" applyFont="1" applyBorder="1"/>
    <xf numFmtId="10" fontId="23" fillId="0" borderId="0" xfId="8" applyNumberFormat="1" applyFont="1" applyFill="1" applyBorder="1" applyAlignment="1">
      <alignment horizontal="center"/>
    </xf>
    <xf numFmtId="166" fontId="23" fillId="0" borderId="0" xfId="0" applyNumberFormat="1" applyFont="1" applyBorder="1" applyAlignment="1">
      <alignment wrapText="1"/>
    </xf>
    <xf numFmtId="9" fontId="3" fillId="0" borderId="0" xfId="3" applyNumberFormat="1" applyFont="1" applyBorder="1" applyAlignment="1">
      <alignment horizontal="right"/>
    </xf>
    <xf numFmtId="166" fontId="23" fillId="0" borderId="0" xfId="0" applyNumberFormat="1" applyFont="1" applyFill="1" applyBorder="1"/>
    <xf numFmtId="3" fontId="23" fillId="0" borderId="0" xfId="0" applyNumberFormat="1" applyFont="1" applyBorder="1"/>
    <xf numFmtId="8" fontId="23" fillId="0" borderId="0" xfId="0" applyNumberFormat="1" applyFont="1" applyBorder="1"/>
    <xf numFmtId="40" fontId="23" fillId="0" borderId="0" xfId="0" applyNumberFormat="1" applyFont="1" applyBorder="1"/>
    <xf numFmtId="0" fontId="3" fillId="0" borderId="0" xfId="0" applyFont="1" applyFill="1" applyBorder="1"/>
    <xf numFmtId="0" fontId="25" fillId="0" borderId="0" xfId="0" applyFont="1" applyFill="1" applyBorder="1"/>
    <xf numFmtId="44" fontId="25" fillId="0" borderId="0" xfId="0" applyNumberFormat="1" applyFont="1" applyFill="1" applyBorder="1"/>
    <xf numFmtId="3" fontId="23" fillId="0" borderId="0" xfId="0" applyNumberFormat="1" applyFont="1"/>
    <xf numFmtId="0" fontId="29" fillId="0" borderId="11" xfId="0" applyFont="1" applyBorder="1"/>
    <xf numFmtId="0" fontId="30" fillId="0" borderId="6" xfId="0" applyFont="1" applyBorder="1"/>
    <xf numFmtId="0" fontId="10" fillId="0" borderId="20" xfId="0" applyFont="1" applyBorder="1"/>
    <xf numFmtId="0" fontId="10" fillId="0" borderId="20" xfId="0" applyFont="1" applyFill="1" applyBorder="1"/>
    <xf numFmtId="0" fontId="29" fillId="0" borderId="6" xfId="0" applyFont="1" applyBorder="1"/>
    <xf numFmtId="0" fontId="29" fillId="0" borderId="20" xfId="0" applyFont="1" applyBorder="1"/>
    <xf numFmtId="0" fontId="30" fillId="0" borderId="19" xfId="0" applyFont="1" applyBorder="1" applyAlignment="1">
      <alignment wrapText="1"/>
    </xf>
    <xf numFmtId="0" fontId="30" fillId="0" borderId="6" xfId="0" applyFont="1" applyBorder="1" applyAlignment="1">
      <alignment wrapText="1"/>
    </xf>
    <xf numFmtId="0" fontId="30" fillId="0" borderId="19" xfId="0" applyFont="1" applyBorder="1"/>
    <xf numFmtId="0" fontId="9" fillId="0" borderId="0" xfId="0" applyFont="1" applyBorder="1" applyAlignment="1">
      <alignment horizontal="center" wrapText="1"/>
    </xf>
    <xf numFmtId="0" fontId="0" fillId="0" borderId="0" xfId="0" applyBorder="1"/>
    <xf numFmtId="0" fontId="29" fillId="0" borderId="20" xfId="0" applyFont="1" applyFill="1" applyBorder="1"/>
    <xf numFmtId="0" fontId="30" fillId="0" borderId="0" xfId="0" applyFont="1" applyBorder="1" applyAlignment="1">
      <alignment wrapText="1"/>
    </xf>
    <xf numFmtId="0" fontId="29" fillId="0" borderId="21" xfId="0" applyFont="1" applyBorder="1"/>
    <xf numFmtId="0" fontId="29" fillId="0" borderId="22" xfId="0" applyFont="1" applyBorder="1"/>
    <xf numFmtId="0" fontId="29" fillId="0" borderId="22" xfId="0" applyFont="1" applyFill="1" applyBorder="1"/>
    <xf numFmtId="0" fontId="30" fillId="0" borderId="11" xfId="0" applyFont="1" applyBorder="1"/>
    <xf numFmtId="169" fontId="0" fillId="0" borderId="0" xfId="0" applyNumberFormat="1" applyBorder="1"/>
    <xf numFmtId="169" fontId="0" fillId="0" borderId="0" xfId="0" applyNumberFormat="1"/>
    <xf numFmtId="0" fontId="4" fillId="0" borderId="4" xfId="0" applyFont="1" applyFill="1" applyBorder="1" applyAlignment="1">
      <alignment horizontal="center" wrapText="1"/>
    </xf>
    <xf numFmtId="0" fontId="5" fillId="0" borderId="3" xfId="0" applyFont="1" applyFill="1" applyBorder="1" applyAlignment="1">
      <alignment horizontal="right"/>
    </xf>
    <xf numFmtId="0" fontId="0" fillId="0" borderId="0" xfId="0" applyFill="1"/>
    <xf numFmtId="0" fontId="23" fillId="0" borderId="0" xfId="0" applyFont="1" applyBorder="1"/>
    <xf numFmtId="44" fontId="23" fillId="0" borderId="0" xfId="0" applyNumberFormat="1" applyFont="1" applyBorder="1" applyAlignment="1"/>
    <xf numFmtId="0" fontId="26" fillId="0" borderId="0" xfId="0" applyFont="1" applyBorder="1" applyAlignment="1">
      <alignment horizontal="right"/>
    </xf>
    <xf numFmtId="0" fontId="26" fillId="0" borderId="0" xfId="0" applyFont="1"/>
    <xf numFmtId="0" fontId="23" fillId="0" borderId="1" xfId="0" applyFont="1" applyFill="1" applyBorder="1" applyAlignment="1">
      <alignment horizontal="right"/>
    </xf>
    <xf numFmtId="0" fontId="26" fillId="0" borderId="0" xfId="0" applyFont="1" applyAlignment="1">
      <alignment wrapText="1"/>
    </xf>
    <xf numFmtId="165" fontId="5" fillId="0" borderId="3" xfId="0" applyNumberFormat="1" applyFont="1" applyBorder="1" applyAlignment="1">
      <alignment horizontal="right"/>
    </xf>
    <xf numFmtId="169" fontId="0" fillId="0" borderId="23" xfId="0" applyNumberFormat="1" applyBorder="1"/>
    <xf numFmtId="169" fontId="0" fillId="0" borderId="7" xfId="0" applyNumberFormat="1" applyBorder="1"/>
    <xf numFmtId="0" fontId="26" fillId="0" borderId="0" xfId="0" applyFont="1" applyAlignment="1">
      <alignment horizontal="center"/>
    </xf>
    <xf numFmtId="0" fontId="26" fillId="0" borderId="0" xfId="0" applyFont="1" applyAlignment="1"/>
    <xf numFmtId="0" fontId="26" fillId="0" borderId="0" xfId="0" applyFont="1" applyAlignment="1">
      <alignment vertical="center"/>
    </xf>
    <xf numFmtId="0" fontId="26" fillId="0" borderId="0" xfId="0" applyFont="1" applyBorder="1"/>
    <xf numFmtId="0" fontId="26" fillId="0" borderId="0" xfId="0" applyFont="1" applyBorder="1" applyAlignment="1">
      <alignment vertical="center" wrapText="1"/>
    </xf>
    <xf numFmtId="37" fontId="5" fillId="0" borderId="3" xfId="0" applyNumberFormat="1" applyFont="1" applyFill="1" applyBorder="1" applyAlignment="1" applyProtection="1">
      <alignment horizontal="right"/>
    </xf>
    <xf numFmtId="0" fontId="5" fillId="0" borderId="3" xfId="0" applyFont="1" applyBorder="1" applyAlignment="1" applyProtection="1">
      <alignment horizontal="right"/>
      <protection locked="0"/>
    </xf>
    <xf numFmtId="0" fontId="29" fillId="0" borderId="0" xfId="0" applyFont="1" applyAlignment="1">
      <alignment horizontal="left"/>
    </xf>
    <xf numFmtId="0" fontId="0" fillId="0" borderId="0" xfId="0"/>
    <xf numFmtId="0" fontId="0" fillId="0" borderId="7" xfId="0" applyBorder="1"/>
    <xf numFmtId="0" fontId="0" fillId="0" borderId="0" xfId="0" applyAlignment="1"/>
    <xf numFmtId="0" fontId="38" fillId="0" borderId="0" xfId="0" applyFont="1" applyAlignment="1">
      <alignment horizontal="left"/>
    </xf>
    <xf numFmtId="0" fontId="0" fillId="0" borderId="0" xfId="0" applyBorder="1" applyAlignment="1">
      <alignment horizontal="center" vertical="center"/>
    </xf>
    <xf numFmtId="0" fontId="39" fillId="0" borderId="0" xfId="0" applyFont="1"/>
    <xf numFmtId="0" fontId="40" fillId="0" borderId="0" xfId="0" applyFont="1"/>
    <xf numFmtId="0" fontId="41" fillId="0" borderId="0" xfId="0" applyFont="1"/>
    <xf numFmtId="0" fontId="39" fillId="0" borderId="0" xfId="0" applyFont="1" applyAlignment="1">
      <alignment horizontal="center" vertical="center"/>
    </xf>
    <xf numFmtId="0" fontId="39" fillId="0" borderId="0" xfId="0" applyFont="1" applyAlignment="1"/>
    <xf numFmtId="0" fontId="38" fillId="0" borderId="0" xfId="0" applyFont="1"/>
    <xf numFmtId="0" fontId="1" fillId="0" borderId="0" xfId="5" applyFill="1" applyBorder="1" applyAlignment="1" applyProtection="1">
      <alignment horizontal="center" vertical="center"/>
    </xf>
    <xf numFmtId="0" fontId="1" fillId="0" borderId="0" xfId="5" applyFill="1" applyBorder="1" applyAlignment="1" applyProtection="1"/>
    <xf numFmtId="0" fontId="13" fillId="0" borderId="0" xfId="5" quotePrefix="1" applyFont="1" applyFill="1" applyAlignment="1" applyProtection="1">
      <alignment horizontal="center" vertical="center"/>
    </xf>
    <xf numFmtId="0" fontId="13" fillId="0" borderId="0" xfId="5" applyFont="1" applyFill="1" applyAlignment="1" applyProtection="1">
      <alignment horizontal="center" vertical="center"/>
    </xf>
    <xf numFmtId="0" fontId="23" fillId="0" borderId="0" xfId="0" applyFont="1" applyBorder="1" applyProtection="1"/>
    <xf numFmtId="0" fontId="36" fillId="0" borderId="0" xfId="0" applyFont="1" applyFill="1" applyBorder="1" applyAlignment="1" applyProtection="1">
      <alignment horizontal="center"/>
    </xf>
    <xf numFmtId="0" fontId="23" fillId="0" borderId="0" xfId="0" applyFont="1" applyFill="1" applyBorder="1" applyProtection="1"/>
    <xf numFmtId="165" fontId="44" fillId="6" borderId="3" xfId="0" applyNumberFormat="1" applyFont="1" applyFill="1" applyBorder="1" applyAlignment="1" applyProtection="1">
      <alignment horizontal="right"/>
      <protection locked="0"/>
    </xf>
    <xf numFmtId="37" fontId="44" fillId="6" borderId="3" xfId="0" applyNumberFormat="1" applyFont="1" applyFill="1" applyBorder="1" applyAlignment="1" applyProtection="1">
      <alignment horizontal="right"/>
      <protection locked="0"/>
    </xf>
    <xf numFmtId="3" fontId="44" fillId="6" borderId="3" xfId="0" applyNumberFormat="1" applyFont="1" applyFill="1" applyBorder="1" applyAlignment="1" applyProtection="1">
      <alignment horizontal="right"/>
      <protection locked="0"/>
    </xf>
    <xf numFmtId="3" fontId="5" fillId="0" borderId="3" xfId="0" applyNumberFormat="1" applyFont="1" applyBorder="1" applyAlignment="1" applyProtection="1">
      <alignment horizontal="right"/>
      <protection locked="0"/>
    </xf>
    <xf numFmtId="49" fontId="45" fillId="5" borderId="0" xfId="0" applyNumberFormat="1" applyFont="1" applyFill="1" applyBorder="1" applyAlignment="1" applyProtection="1">
      <alignment horizontal="center"/>
    </xf>
    <xf numFmtId="0" fontId="1" fillId="0" borderId="0" xfId="5" applyFill="1" applyAlignment="1" applyProtection="1">
      <alignment horizontal="center" vertical="center"/>
    </xf>
    <xf numFmtId="44" fontId="0" fillId="0" borderId="0" xfId="0" applyNumberFormat="1"/>
    <xf numFmtId="0" fontId="11" fillId="0" borderId="0" xfId="0" applyFont="1" applyBorder="1" applyAlignment="1">
      <alignment wrapText="1"/>
    </xf>
    <xf numFmtId="0" fontId="0" fillId="0" borderId="0" xfId="0" applyFill="1" applyAlignment="1"/>
    <xf numFmtId="0" fontId="27" fillId="0" borderId="0" xfId="0" applyFont="1" applyAlignment="1">
      <alignment wrapText="1"/>
    </xf>
    <xf numFmtId="0" fontId="0" fillId="0" borderId="0" xfId="0" applyAlignment="1">
      <alignment wrapText="1"/>
    </xf>
    <xf numFmtId="0" fontId="22" fillId="0" borderId="0" xfId="0" applyFont="1"/>
    <xf numFmtId="0" fontId="22" fillId="0" borderId="0" xfId="0" applyFont="1" applyAlignment="1">
      <alignment wrapText="1"/>
    </xf>
    <xf numFmtId="0" fontId="32" fillId="0" borderId="0" xfId="0" applyFont="1" applyBorder="1" applyAlignment="1"/>
    <xf numFmtId="44" fontId="23" fillId="2" borderId="0" xfId="3" applyFont="1" applyFill="1" applyAlignment="1">
      <alignment horizontal="right"/>
    </xf>
    <xf numFmtId="166" fontId="5" fillId="0" borderId="3" xfId="3" applyNumberFormat="1" applyFont="1" applyBorder="1" applyAlignment="1" applyProtection="1">
      <alignment horizontal="right"/>
      <protection locked="0"/>
    </xf>
    <xf numFmtId="166" fontId="26" fillId="0" borderId="3" xfId="3" applyNumberFormat="1" applyFont="1" applyFill="1" applyBorder="1" applyAlignment="1" applyProtection="1">
      <alignment horizontal="right"/>
    </xf>
    <xf numFmtId="0" fontId="27" fillId="0" borderId="0" xfId="0" applyFont="1" applyBorder="1" applyAlignment="1">
      <alignment wrapText="1"/>
    </xf>
    <xf numFmtId="0" fontId="30" fillId="3" borderId="20" xfId="0" applyFont="1" applyFill="1" applyBorder="1"/>
    <xf numFmtId="169" fontId="22" fillId="3" borderId="23" xfId="0" applyNumberFormat="1" applyFont="1" applyFill="1" applyBorder="1"/>
    <xf numFmtId="0" fontId="51" fillId="0" borderId="0" xfId="0" applyFont="1" applyBorder="1"/>
    <xf numFmtId="168" fontId="26" fillId="0" borderId="0" xfId="0" applyNumberFormat="1" applyFont="1"/>
    <xf numFmtId="9" fontId="27" fillId="0" borderId="3" xfId="8" applyFont="1" applyBorder="1" applyAlignment="1">
      <alignment horizontal="center"/>
    </xf>
    <xf numFmtId="6" fontId="26" fillId="0" borderId="14" xfId="0" applyNumberFormat="1" applyFont="1" applyBorder="1" applyAlignment="1">
      <alignment horizontal="right"/>
    </xf>
    <xf numFmtId="6" fontId="26" fillId="0" borderId="0" xfId="0" applyNumberFormat="1" applyFont="1" applyBorder="1" applyAlignment="1">
      <alignment horizontal="right"/>
    </xf>
    <xf numFmtId="6" fontId="26" fillId="0" borderId="17" xfId="0" applyNumberFormat="1" applyFont="1" applyBorder="1" applyAlignment="1">
      <alignment horizontal="right"/>
    </xf>
    <xf numFmtId="0" fontId="33" fillId="0" borderId="0" xfId="0" applyFont="1" applyAlignment="1">
      <alignment horizontal="center"/>
    </xf>
    <xf numFmtId="0" fontId="23" fillId="0" borderId="0" xfId="0" applyFont="1" applyBorder="1" applyAlignment="1">
      <alignment horizontal="center"/>
    </xf>
    <xf numFmtId="0" fontId="26" fillId="0" borderId="0" xfId="0" applyFont="1" applyBorder="1" applyAlignment="1">
      <alignment wrapText="1"/>
    </xf>
    <xf numFmtId="37" fontId="26" fillId="0" borderId="0" xfId="3" applyNumberFormat="1" applyFont="1" applyFill="1" applyBorder="1" applyAlignment="1">
      <alignment horizontal="right"/>
    </xf>
    <xf numFmtId="44" fontId="26" fillId="0" borderId="0" xfId="0" applyNumberFormat="1" applyFont="1" applyBorder="1"/>
    <xf numFmtId="167" fontId="26" fillId="0" borderId="0" xfId="0" applyNumberFormat="1" applyFont="1" applyBorder="1"/>
    <xf numFmtId="0" fontId="4" fillId="0" borderId="28" xfId="0" applyFont="1" applyFill="1" applyBorder="1" applyAlignment="1">
      <alignment wrapText="1"/>
    </xf>
    <xf numFmtId="0" fontId="27" fillId="0" borderId="33" xfId="0" applyFont="1" applyFill="1" applyBorder="1" applyAlignment="1">
      <alignment wrapText="1"/>
    </xf>
    <xf numFmtId="44" fontId="23" fillId="0" borderId="0" xfId="3" applyFont="1" applyFill="1" applyBorder="1" applyAlignment="1">
      <alignment horizontal="right" wrapText="1"/>
    </xf>
    <xf numFmtId="44" fontId="23" fillId="0" borderId="0" xfId="0" applyNumberFormat="1" applyFont="1" applyBorder="1" applyAlignment="1">
      <alignment wrapText="1"/>
    </xf>
    <xf numFmtId="167" fontId="23" fillId="0" borderId="0" xfId="0" applyNumberFormat="1" applyFont="1" applyBorder="1" applyAlignment="1">
      <alignment wrapText="1"/>
    </xf>
    <xf numFmtId="0" fontId="23" fillId="0" borderId="0" xfId="0" applyFont="1" applyBorder="1" applyAlignment="1">
      <alignment horizontal="right" wrapText="1"/>
    </xf>
    <xf numFmtId="0" fontId="23" fillId="0" borderId="16" xfId="0" applyFont="1" applyBorder="1" applyAlignment="1">
      <alignment wrapText="1"/>
    </xf>
    <xf numFmtId="8" fontId="3" fillId="0" borderId="0" xfId="0" applyNumberFormat="1" applyFont="1" applyBorder="1"/>
    <xf numFmtId="0" fontId="27" fillId="0" borderId="33" xfId="0" applyFont="1" applyBorder="1" applyAlignment="1">
      <alignment wrapText="1"/>
    </xf>
    <xf numFmtId="0" fontId="5" fillId="0" borderId="0" xfId="0" applyFont="1" applyFill="1" applyBorder="1"/>
    <xf numFmtId="0" fontId="28" fillId="0" borderId="0" xfId="0" applyFont="1" applyFill="1" applyBorder="1"/>
    <xf numFmtId="0" fontId="27" fillId="0" borderId="0" xfId="0" applyFont="1" applyBorder="1"/>
    <xf numFmtId="0" fontId="26" fillId="0" borderId="13" xfId="0" applyFont="1" applyBorder="1" applyAlignment="1">
      <alignment horizontal="left" wrapText="1"/>
    </xf>
    <xf numFmtId="0" fontId="26" fillId="0" borderId="13" xfId="0" applyFont="1" applyBorder="1" applyAlignment="1">
      <alignment horizontal="right" wrapText="1"/>
    </xf>
    <xf numFmtId="0" fontId="36" fillId="7" borderId="13" xfId="0" applyFont="1" applyFill="1" applyBorder="1" applyAlignment="1" applyProtection="1">
      <alignment horizontal="right"/>
      <protection locked="0"/>
    </xf>
    <xf numFmtId="0" fontId="26" fillId="0" borderId="13" xfId="0" applyFont="1" applyBorder="1" applyAlignment="1">
      <alignment wrapText="1"/>
    </xf>
    <xf numFmtId="0" fontId="36" fillId="7" borderId="13" xfId="0" applyFont="1" applyFill="1" applyBorder="1" applyAlignment="1" applyProtection="1">
      <alignment horizontal="right" wrapText="1"/>
      <protection locked="0"/>
    </xf>
    <xf numFmtId="0" fontId="5" fillId="0" borderId="36" xfId="0" applyFont="1" applyFill="1" applyBorder="1" applyAlignment="1">
      <alignment wrapText="1"/>
    </xf>
    <xf numFmtId="0" fontId="5" fillId="0" borderId="13" xfId="0" applyFont="1" applyFill="1" applyBorder="1" applyAlignment="1">
      <alignment horizontal="right" wrapText="1"/>
    </xf>
    <xf numFmtId="166" fontId="36" fillId="7" borderId="13" xfId="0" applyNumberFormat="1" applyFont="1" applyFill="1" applyBorder="1" applyAlignment="1" applyProtection="1">
      <alignment horizontal="right"/>
      <protection locked="0"/>
    </xf>
    <xf numFmtId="44" fontId="36" fillId="7" borderId="13" xfId="0" applyNumberFormat="1" applyFont="1" applyFill="1" applyBorder="1" applyAlignment="1">
      <alignment horizontal="right"/>
    </xf>
    <xf numFmtId="0" fontId="36" fillId="7" borderId="13" xfId="0" applyFont="1" applyFill="1" applyBorder="1" applyAlignment="1">
      <alignment horizontal="right"/>
    </xf>
    <xf numFmtId="0" fontId="4" fillId="0" borderId="40" xfId="5" applyFont="1" applyBorder="1" applyAlignment="1" applyProtection="1">
      <alignment horizontal="left" wrapText="1"/>
    </xf>
    <xf numFmtId="0" fontId="27" fillId="0" borderId="41" xfId="0" applyFont="1" applyBorder="1" applyAlignment="1">
      <alignment wrapText="1"/>
    </xf>
    <xf numFmtId="0" fontId="27" fillId="0" borderId="41" xfId="0" applyFont="1" applyBorder="1" applyAlignment="1">
      <alignment horizontal="right"/>
    </xf>
    <xf numFmtId="0" fontId="23" fillId="0" borderId="16" xfId="0" applyFont="1" applyBorder="1"/>
    <xf numFmtId="0" fontId="26" fillId="0" borderId="44" xfId="0" applyFont="1" applyBorder="1"/>
    <xf numFmtId="0" fontId="23" fillId="0" borderId="36" xfId="0" applyFont="1" applyBorder="1" applyAlignment="1">
      <alignment wrapText="1"/>
    </xf>
    <xf numFmtId="0" fontId="27" fillId="0" borderId="3" xfId="0" applyFont="1" applyBorder="1" applyAlignment="1">
      <alignment horizontal="center" wrapText="1"/>
    </xf>
    <xf numFmtId="167" fontId="4" fillId="0" borderId="3" xfId="0" applyNumberFormat="1" applyFont="1" applyBorder="1" applyAlignment="1">
      <alignment horizontal="center" wrapText="1"/>
    </xf>
    <xf numFmtId="0" fontId="4" fillId="0" borderId="3" xfId="0" applyFont="1" applyBorder="1" applyAlignment="1">
      <alignment horizontal="center" wrapText="1"/>
    </xf>
    <xf numFmtId="167" fontId="27" fillId="0" borderId="3" xfId="0" applyNumberFormat="1" applyFont="1" applyBorder="1" applyAlignment="1">
      <alignment horizontal="center" wrapText="1"/>
    </xf>
    <xf numFmtId="0" fontId="27" fillId="0" borderId="23" xfId="0" applyFont="1" applyBorder="1" applyAlignment="1">
      <alignment horizontal="center"/>
    </xf>
    <xf numFmtId="0" fontId="23" fillId="0" borderId="40" xfId="0" applyFont="1" applyBorder="1" applyAlignment="1">
      <alignment wrapText="1"/>
    </xf>
    <xf numFmtId="0" fontId="26" fillId="0" borderId="0" xfId="0" applyFont="1" applyFill="1" applyBorder="1" applyAlignment="1">
      <alignment horizontal="right"/>
    </xf>
    <xf numFmtId="0" fontId="26" fillId="0" borderId="13" xfId="0" applyFont="1" applyFill="1" applyBorder="1" applyAlignment="1">
      <alignment horizontal="left" wrapText="1"/>
    </xf>
    <xf numFmtId="0" fontId="5" fillId="0" borderId="13" xfId="0" applyFont="1" applyFill="1" applyBorder="1" applyAlignment="1">
      <alignment horizontal="left" wrapText="1"/>
    </xf>
    <xf numFmtId="0" fontId="27" fillId="0" borderId="34" xfId="0" applyFont="1" applyBorder="1" applyAlignment="1">
      <alignment horizontal="center" wrapText="1"/>
    </xf>
    <xf numFmtId="44" fontId="27" fillId="0" borderId="34" xfId="3" applyFont="1" applyBorder="1" applyAlignment="1">
      <alignment horizontal="center" wrapText="1"/>
    </xf>
    <xf numFmtId="0" fontId="27" fillId="0" borderId="35" xfId="0" applyFont="1" applyBorder="1" applyAlignment="1">
      <alignment horizontal="center" wrapText="1"/>
    </xf>
    <xf numFmtId="166" fontId="26" fillId="0" borderId="41" xfId="0" applyNumberFormat="1" applyFont="1" applyBorder="1" applyAlignment="1">
      <alignment wrapText="1"/>
    </xf>
    <xf numFmtId="9" fontId="5" fillId="0" borderId="41" xfId="3" applyNumberFormat="1" applyFont="1" applyBorder="1" applyAlignment="1">
      <alignment horizontal="right"/>
    </xf>
    <xf numFmtId="166" fontId="26" fillId="0" borderId="41" xfId="0" applyNumberFormat="1" applyFont="1" applyFill="1" applyBorder="1"/>
    <xf numFmtId="10" fontId="26" fillId="0" borderId="41" xfId="8" applyNumberFormat="1" applyFont="1" applyFill="1" applyBorder="1" applyAlignment="1">
      <alignment horizontal="center"/>
    </xf>
    <xf numFmtId="3" fontId="26" fillId="0" borderId="41" xfId="0" applyNumberFormat="1" applyFont="1" applyBorder="1"/>
    <xf numFmtId="166" fontId="26" fillId="0" borderId="42" xfId="0" applyNumberFormat="1" applyFont="1" applyBorder="1"/>
    <xf numFmtId="0" fontId="5" fillId="0" borderId="38" xfId="0" applyFont="1" applyFill="1" applyBorder="1" applyAlignment="1">
      <alignment wrapText="1"/>
    </xf>
    <xf numFmtId="0" fontId="5" fillId="0" borderId="2" xfId="0" applyFont="1" applyFill="1" applyBorder="1" applyAlignment="1">
      <alignment wrapText="1"/>
    </xf>
    <xf numFmtId="166" fontId="26" fillId="0" borderId="2" xfId="0" applyNumberFormat="1" applyFont="1" applyFill="1" applyBorder="1" applyAlignment="1" applyProtection="1">
      <alignment horizontal="right"/>
      <protection locked="0"/>
    </xf>
    <xf numFmtId="0" fontId="4" fillId="0" borderId="25" xfId="0" applyFont="1" applyFill="1" applyBorder="1" applyAlignment="1">
      <alignment horizontal="left" wrapText="1"/>
    </xf>
    <xf numFmtId="0" fontId="26" fillId="0" borderId="26" xfId="0" applyFont="1" applyBorder="1" applyAlignment="1">
      <alignment wrapText="1"/>
    </xf>
    <xf numFmtId="166" fontId="26" fillId="0" borderId="26" xfId="0" applyNumberFormat="1" applyFont="1" applyFill="1" applyBorder="1" applyAlignment="1" applyProtection="1">
      <alignment horizontal="right"/>
      <protection locked="0"/>
    </xf>
    <xf numFmtId="0" fontId="5" fillId="0" borderId="0" xfId="0" applyFont="1" applyFill="1" applyBorder="1" applyAlignment="1">
      <alignment wrapText="1"/>
    </xf>
    <xf numFmtId="0" fontId="4" fillId="0" borderId="0" xfId="0" applyFont="1" applyFill="1" applyBorder="1" applyAlignment="1">
      <alignment wrapText="1"/>
    </xf>
    <xf numFmtId="166" fontId="26" fillId="0" borderId="0" xfId="0" applyNumberFormat="1" applyFont="1" applyFill="1" applyBorder="1" applyAlignment="1">
      <alignment horizontal="right"/>
    </xf>
    <xf numFmtId="0" fontId="5" fillId="0" borderId="29" xfId="0" applyFont="1" applyFill="1" applyBorder="1" applyAlignment="1">
      <alignment wrapText="1"/>
    </xf>
    <xf numFmtId="44" fontId="26" fillId="0" borderId="24" xfId="3" applyFont="1" applyBorder="1" applyAlignment="1">
      <alignment horizontal="right"/>
    </xf>
    <xf numFmtId="0" fontId="5" fillId="0" borderId="30" xfId="0" applyFont="1" applyFill="1" applyBorder="1" applyAlignment="1">
      <alignment wrapText="1"/>
    </xf>
    <xf numFmtId="0" fontId="4" fillId="0" borderId="34" xfId="0" applyFont="1" applyFill="1" applyBorder="1" applyAlignment="1">
      <alignment horizontal="center" wrapText="1"/>
    </xf>
    <xf numFmtId="164" fontId="27" fillId="0" borderId="34" xfId="0" applyNumberFormat="1" applyFont="1" applyFill="1" applyBorder="1" applyAlignment="1">
      <alignment horizontal="right"/>
    </xf>
    <xf numFmtId="0" fontId="27" fillId="0" borderId="34" xfId="0" applyFont="1" applyFill="1" applyBorder="1" applyAlignment="1">
      <alignment horizontal="center"/>
    </xf>
    <xf numFmtId="1" fontId="27" fillId="0" borderId="35" xfId="0" applyNumberFormat="1" applyFont="1" applyBorder="1" applyAlignment="1">
      <alignment horizontal="center"/>
    </xf>
    <xf numFmtId="0" fontId="5" fillId="0" borderId="13" xfId="0" applyFont="1" applyFill="1" applyBorder="1" applyAlignment="1">
      <alignment wrapText="1"/>
    </xf>
    <xf numFmtId="166" fontId="26" fillId="0" borderId="13" xfId="0" applyNumberFormat="1" applyFont="1" applyFill="1" applyBorder="1" applyAlignment="1" applyProtection="1">
      <alignment horizontal="right"/>
      <protection locked="0"/>
    </xf>
    <xf numFmtId="0" fontId="26" fillId="0" borderId="13" xfId="0" applyFont="1" applyFill="1" applyBorder="1" applyAlignment="1" applyProtection="1">
      <alignment horizontal="right"/>
      <protection locked="0"/>
    </xf>
    <xf numFmtId="166" fontId="26" fillId="0" borderId="37" xfId="0" applyNumberFormat="1" applyFont="1" applyBorder="1" applyAlignment="1" applyProtection="1">
      <alignment horizontal="right"/>
      <protection locked="0"/>
    </xf>
    <xf numFmtId="166" fontId="5" fillId="0" borderId="13" xfId="0" applyNumberFormat="1" applyFont="1" applyFill="1" applyBorder="1" applyAlignment="1" applyProtection="1">
      <alignment horizontal="right"/>
      <protection locked="0"/>
    </xf>
    <xf numFmtId="0" fontId="5" fillId="0" borderId="13" xfId="0" applyFont="1" applyFill="1" applyBorder="1" applyAlignment="1" applyProtection="1">
      <alignment horizontal="right"/>
      <protection locked="0"/>
    </xf>
    <xf numFmtId="166" fontId="5" fillId="0" borderId="37" xfId="0" applyNumberFormat="1" applyFont="1" applyBorder="1" applyAlignment="1" applyProtection="1">
      <alignment horizontal="right"/>
      <protection locked="0"/>
    </xf>
    <xf numFmtId="0" fontId="26" fillId="0" borderId="2" xfId="0" applyFont="1" applyFill="1" applyBorder="1" applyAlignment="1" applyProtection="1">
      <alignment horizontal="right"/>
      <protection locked="0"/>
    </xf>
    <xf numFmtId="166" fontId="26" fillId="0" borderId="39" xfId="0" applyNumberFormat="1" applyFont="1" applyBorder="1" applyAlignment="1" applyProtection="1">
      <alignment horizontal="right"/>
      <protection locked="0"/>
    </xf>
    <xf numFmtId="0" fontId="26" fillId="0" borderId="26" xfId="0" applyFont="1" applyFill="1" applyBorder="1" applyAlignment="1" applyProtection="1">
      <alignment horizontal="right"/>
      <protection locked="0"/>
    </xf>
    <xf numFmtId="166" fontId="27" fillId="0" borderId="27" xfId="0" applyNumberFormat="1" applyFont="1" applyBorder="1" applyAlignment="1" applyProtection="1">
      <alignment horizontal="right"/>
      <protection locked="0"/>
    </xf>
    <xf numFmtId="0" fontId="26" fillId="0" borderId="5" xfId="0" applyFont="1" applyBorder="1" applyAlignment="1">
      <alignment wrapText="1"/>
    </xf>
    <xf numFmtId="0" fontId="27" fillId="0" borderId="5" xfId="0" applyFont="1" applyBorder="1" applyAlignment="1">
      <alignment horizontal="center" wrapText="1"/>
    </xf>
    <xf numFmtId="0" fontId="27" fillId="0" borderId="10" xfId="0" applyFont="1" applyFill="1" applyBorder="1" applyAlignment="1">
      <alignment horizontal="center" wrapText="1"/>
    </xf>
    <xf numFmtId="0" fontId="5" fillId="0" borderId="6" xfId="0" applyFont="1" applyBorder="1" applyAlignment="1">
      <alignment wrapText="1"/>
    </xf>
    <xf numFmtId="0" fontId="5" fillId="0" borderId="0" xfId="0" applyFont="1" applyFill="1" applyBorder="1" applyProtection="1">
      <protection locked="0"/>
    </xf>
    <xf numFmtId="1" fontId="5" fillId="0" borderId="0" xfId="0" applyNumberFormat="1" applyFont="1" applyFill="1" applyBorder="1" applyProtection="1">
      <protection locked="0"/>
    </xf>
    <xf numFmtId="164" fontId="5" fillId="0" borderId="0" xfId="0" applyNumberFormat="1" applyFont="1" applyFill="1" applyBorder="1" applyProtection="1">
      <protection locked="0"/>
    </xf>
    <xf numFmtId="164" fontId="26" fillId="0" borderId="0" xfId="0" applyNumberFormat="1" applyFont="1" applyBorder="1"/>
    <xf numFmtId="166" fontId="26" fillId="0" borderId="0" xfId="0" applyNumberFormat="1" applyFont="1" applyBorder="1"/>
    <xf numFmtId="1" fontId="27" fillId="0" borderId="7" xfId="0" applyNumberFormat="1" applyFont="1" applyBorder="1"/>
    <xf numFmtId="0" fontId="5" fillId="0" borderId="19" xfId="0" applyFont="1" applyBorder="1" applyAlignment="1">
      <alignment wrapText="1"/>
    </xf>
    <xf numFmtId="0" fontId="5" fillId="0" borderId="8" xfId="0" applyFont="1" applyFill="1" applyBorder="1" applyProtection="1">
      <protection locked="0"/>
    </xf>
    <xf numFmtId="1" fontId="5" fillId="0" borderId="8" xfId="0" applyNumberFormat="1" applyFont="1" applyFill="1" applyBorder="1" applyProtection="1">
      <protection locked="0"/>
    </xf>
    <xf numFmtId="164" fontId="5" fillId="0" borderId="8" xfId="0" applyNumberFormat="1" applyFont="1" applyFill="1" applyBorder="1" applyProtection="1">
      <protection locked="0"/>
    </xf>
    <xf numFmtId="0" fontId="26" fillId="0" borderId="8" xfId="0" applyFont="1" applyFill="1" applyBorder="1"/>
    <xf numFmtId="164" fontId="26" fillId="0" borderId="8" xfId="0" applyNumberFormat="1" applyFont="1" applyBorder="1"/>
    <xf numFmtId="166" fontId="26" fillId="0" borderId="8" xfId="0" applyNumberFormat="1" applyFont="1" applyBorder="1"/>
    <xf numFmtId="1" fontId="27" fillId="0" borderId="9" xfId="0" applyNumberFormat="1" applyFont="1" applyBorder="1"/>
    <xf numFmtId="0" fontId="26" fillId="0" borderId="36" xfId="0" applyFont="1" applyBorder="1" applyAlignment="1">
      <alignment vertical="top" wrapText="1"/>
    </xf>
    <xf numFmtId="0" fontId="26" fillId="0" borderId="36" xfId="0" applyFont="1" applyFill="1" applyBorder="1" applyAlignment="1">
      <alignment vertical="top" wrapText="1"/>
    </xf>
    <xf numFmtId="0" fontId="5" fillId="0" borderId="36" xfId="0" applyFont="1" applyFill="1" applyBorder="1" applyAlignment="1">
      <alignment vertical="top" wrapText="1"/>
    </xf>
    <xf numFmtId="0" fontId="23" fillId="0" borderId="0" xfId="0" applyFont="1" applyAlignment="1">
      <alignment horizontal="center"/>
    </xf>
    <xf numFmtId="0" fontId="42" fillId="0" borderId="0" xfId="0" applyFont="1" applyFill="1" applyBorder="1" applyAlignment="1" applyProtection="1">
      <alignment horizontal="center"/>
    </xf>
    <xf numFmtId="6" fontId="23" fillId="0" borderId="0" xfId="0" applyNumberFormat="1" applyFont="1" applyAlignment="1">
      <alignment horizontal="center"/>
    </xf>
    <xf numFmtId="6" fontId="23" fillId="0" borderId="0" xfId="0" applyNumberFormat="1" applyFont="1" applyBorder="1" applyAlignment="1">
      <alignment horizontal="center"/>
    </xf>
    <xf numFmtId="44" fontId="29" fillId="0" borderId="0" xfId="3" applyFont="1" applyBorder="1" applyAlignment="1">
      <alignment horizontal="center"/>
    </xf>
    <xf numFmtId="6" fontId="29" fillId="0" borderId="0" xfId="3" applyNumberFormat="1" applyFont="1" applyBorder="1" applyAlignment="1">
      <alignment horizontal="center"/>
    </xf>
    <xf numFmtId="6" fontId="29" fillId="0" borderId="0" xfId="0" applyNumberFormat="1" applyFont="1" applyBorder="1" applyAlignment="1">
      <alignment horizontal="center"/>
    </xf>
    <xf numFmtId="166" fontId="29" fillId="0" borderId="0" xfId="0" applyNumberFormat="1" applyFont="1" applyBorder="1" applyAlignment="1">
      <alignment horizontal="center"/>
    </xf>
    <xf numFmtId="0" fontId="23" fillId="0" borderId="0" xfId="0" applyFont="1" applyFill="1" applyAlignment="1">
      <alignment horizontal="center"/>
    </xf>
    <xf numFmtId="44" fontId="23" fillId="0" borderId="0" xfId="3" applyFont="1" applyAlignment="1">
      <alignment horizontal="center"/>
    </xf>
    <xf numFmtId="6" fontId="23" fillId="0" borderId="0" xfId="3" applyNumberFormat="1" applyFont="1" applyAlignment="1">
      <alignment horizontal="center"/>
    </xf>
    <xf numFmtId="6" fontId="23" fillId="0" borderId="0" xfId="3" applyNumberFormat="1" applyFont="1" applyBorder="1" applyAlignment="1">
      <alignment horizontal="center"/>
    </xf>
    <xf numFmtId="0" fontId="43" fillId="0" borderId="0" xfId="0" applyFont="1" applyFill="1" applyBorder="1" applyAlignment="1" applyProtection="1">
      <alignment horizontal="center"/>
    </xf>
    <xf numFmtId="17" fontId="42" fillId="5" borderId="0" xfId="0" applyNumberFormat="1" applyFont="1" applyFill="1" applyBorder="1" applyAlignment="1" applyProtection="1">
      <alignment horizontal="center"/>
    </xf>
    <xf numFmtId="17" fontId="42" fillId="0" borderId="0" xfId="0" applyNumberFormat="1" applyFont="1" applyFill="1" applyBorder="1" applyAlignment="1" applyProtection="1">
      <alignment horizontal="center"/>
    </xf>
    <xf numFmtId="1" fontId="23" fillId="0" borderId="1" xfId="8" applyNumberFormat="1" applyFont="1" applyFill="1" applyBorder="1" applyAlignment="1" applyProtection="1">
      <alignment horizontal="center"/>
    </xf>
    <xf numFmtId="44" fontId="30" fillId="0" borderId="0" xfId="3" applyFont="1" applyBorder="1" applyAlignment="1">
      <alignment horizontal="center"/>
    </xf>
    <xf numFmtId="0" fontId="30" fillId="0" borderId="0" xfId="0" applyFont="1" applyBorder="1" applyAlignment="1">
      <alignment horizontal="center"/>
    </xf>
    <xf numFmtId="0" fontId="42" fillId="5" borderId="0" xfId="0" applyFont="1" applyFill="1" applyBorder="1" applyAlignment="1" applyProtection="1">
      <alignment horizontal="center"/>
    </xf>
    <xf numFmtId="166" fontId="5" fillId="0" borderId="3" xfId="3" applyNumberFormat="1" applyFont="1" applyBorder="1" applyAlignment="1" applyProtection="1">
      <alignment horizontal="right"/>
    </xf>
    <xf numFmtId="166" fontId="4" fillId="0" borderId="3" xfId="3" applyNumberFormat="1" applyFont="1" applyBorder="1" applyAlignment="1">
      <alignment horizontal="right"/>
    </xf>
    <xf numFmtId="166" fontId="5" fillId="0" borderId="3" xfId="3" applyNumberFormat="1" applyFont="1" applyBorder="1" applyAlignment="1">
      <alignment horizontal="right"/>
    </xf>
    <xf numFmtId="166" fontId="44" fillId="6" borderId="3" xfId="3" applyNumberFormat="1" applyFont="1" applyFill="1" applyBorder="1" applyAlignment="1" applyProtection="1">
      <alignment horizontal="right"/>
      <protection locked="0"/>
    </xf>
    <xf numFmtId="170" fontId="5" fillId="0" borderId="3" xfId="3" applyNumberFormat="1" applyFont="1" applyFill="1" applyBorder="1" applyAlignment="1">
      <alignment horizontal="right"/>
    </xf>
    <xf numFmtId="37" fontId="5" fillId="0" borderId="3" xfId="0" applyNumberFormat="1" applyFont="1" applyFill="1" applyBorder="1" applyAlignment="1" applyProtection="1">
      <alignment horizontal="right"/>
      <protection locked="0"/>
    </xf>
    <xf numFmtId="166" fontId="5" fillId="0" borderId="3" xfId="3" applyNumberFormat="1" applyFont="1" applyFill="1" applyBorder="1" applyAlignment="1" applyProtection="1">
      <alignment horizontal="right"/>
      <protection locked="0"/>
    </xf>
    <xf numFmtId="166" fontId="5" fillId="0" borderId="3" xfId="0" applyNumberFormat="1" applyFont="1" applyFill="1" applyBorder="1" applyAlignment="1">
      <alignment horizontal="right"/>
    </xf>
    <xf numFmtId="0" fontId="5" fillId="0" borderId="3" xfId="0" applyFont="1" applyFill="1" applyBorder="1" applyAlignment="1" applyProtection="1">
      <alignment horizontal="right"/>
      <protection locked="0"/>
    </xf>
    <xf numFmtId="166" fontId="5" fillId="0" borderId="3" xfId="3" applyNumberFormat="1" applyFont="1" applyFill="1" applyBorder="1" applyAlignment="1">
      <alignment horizontal="right"/>
    </xf>
    <xf numFmtId="0" fontId="4" fillId="0" borderId="3" xfId="0" applyFont="1" applyBorder="1" applyAlignment="1" applyProtection="1">
      <alignment horizontal="right"/>
      <protection locked="0"/>
    </xf>
    <xf numFmtId="1" fontId="5" fillId="0" borderId="3" xfId="0" applyNumberFormat="1" applyFont="1" applyBorder="1" applyAlignment="1" applyProtection="1">
      <alignment horizontal="right"/>
      <protection locked="0"/>
    </xf>
    <xf numFmtId="166" fontId="5" fillId="0" borderId="3" xfId="0" applyNumberFormat="1" applyFont="1" applyBorder="1" applyAlignment="1">
      <alignment horizontal="right"/>
    </xf>
    <xf numFmtId="166" fontId="4" fillId="0" borderId="3" xfId="0" applyNumberFormat="1" applyFont="1" applyBorder="1" applyAlignment="1">
      <alignment horizontal="right"/>
    </xf>
    <xf numFmtId="0" fontId="44" fillId="6" borderId="3" xfId="0" applyFont="1" applyFill="1" applyBorder="1" applyAlignment="1" applyProtection="1">
      <alignment horizontal="right"/>
      <protection locked="0"/>
    </xf>
    <xf numFmtId="0" fontId="26" fillId="0" borderId="3" xfId="0" applyFont="1" applyBorder="1" applyAlignment="1" applyProtection="1">
      <alignment horizontal="right"/>
      <protection locked="0"/>
    </xf>
    <xf numFmtId="166" fontId="26" fillId="0" borderId="3" xfId="3" applyNumberFormat="1" applyFont="1" applyBorder="1" applyAlignment="1" applyProtection="1">
      <alignment horizontal="right"/>
    </xf>
    <xf numFmtId="44" fontId="5" fillId="0" borderId="3" xfId="3" applyFont="1" applyBorder="1" applyAlignment="1">
      <alignment horizontal="right"/>
    </xf>
    <xf numFmtId="166" fontId="36" fillId="7" borderId="13" xfId="3" applyNumberFormat="1" applyFont="1" applyFill="1" applyBorder="1" applyAlignment="1" applyProtection="1">
      <alignment horizontal="right"/>
      <protection locked="0"/>
    </xf>
    <xf numFmtId="0" fontId="36" fillId="9" borderId="13" xfId="0" applyFont="1" applyFill="1" applyBorder="1" applyAlignment="1" applyProtection="1">
      <alignment horizontal="right"/>
      <protection locked="0"/>
    </xf>
    <xf numFmtId="5" fontId="26" fillId="0" borderId="13" xfId="0" applyNumberFormat="1" applyFont="1" applyFill="1" applyBorder="1" applyAlignment="1">
      <alignment horizontal="right"/>
    </xf>
    <xf numFmtId="1" fontId="45" fillId="8" borderId="13" xfId="0" applyNumberFormat="1" applyFont="1" applyFill="1" applyBorder="1" applyAlignment="1" applyProtection="1">
      <alignment horizontal="right"/>
      <protection locked="0"/>
    </xf>
    <xf numFmtId="166" fontId="26" fillId="0" borderId="13" xfId="0" applyNumberFormat="1" applyFont="1" applyBorder="1" applyAlignment="1">
      <alignment horizontal="right"/>
    </xf>
    <xf numFmtId="166" fontId="26" fillId="0" borderId="37" xfId="0" applyNumberFormat="1" applyFont="1" applyBorder="1" applyAlignment="1">
      <alignment horizontal="right"/>
    </xf>
    <xf numFmtId="164" fontId="26" fillId="0" borderId="13" xfId="0" applyNumberFormat="1" applyFont="1" applyFill="1" applyBorder="1" applyAlignment="1">
      <alignment horizontal="right"/>
    </xf>
    <xf numFmtId="164" fontId="36" fillId="7" borderId="13" xfId="3" applyNumberFormat="1" applyFont="1" applyFill="1" applyBorder="1" applyAlignment="1" applyProtection="1">
      <alignment horizontal="right"/>
      <protection locked="0"/>
    </xf>
    <xf numFmtId="1" fontId="5" fillId="0" borderId="13" xfId="0" applyNumberFormat="1" applyFont="1" applyBorder="1" applyAlignment="1" applyProtection="1">
      <alignment horizontal="right"/>
      <protection locked="0"/>
    </xf>
    <xf numFmtId="1" fontId="45" fillId="12" borderId="13" xfId="0" applyNumberFormat="1" applyFont="1" applyFill="1" applyBorder="1" applyAlignment="1" applyProtection="1">
      <alignment horizontal="right"/>
      <protection locked="0"/>
    </xf>
    <xf numFmtId="44" fontId="27" fillId="0" borderId="13" xfId="0" applyNumberFormat="1" applyFont="1" applyFill="1" applyBorder="1" applyAlignment="1">
      <alignment horizontal="right"/>
    </xf>
    <xf numFmtId="1" fontId="45" fillId="8" borderId="13" xfId="0" applyNumberFormat="1" applyFont="1" applyFill="1" applyBorder="1" applyAlignment="1">
      <alignment horizontal="right"/>
    </xf>
    <xf numFmtId="0" fontId="27" fillId="0" borderId="41" xfId="0" applyFont="1" applyBorder="1" applyAlignment="1">
      <alignment horizontal="right" wrapText="1"/>
    </xf>
    <xf numFmtId="0" fontId="26" fillId="0" borderId="41" xfId="0" applyFont="1" applyBorder="1" applyAlignment="1">
      <alignment horizontal="right"/>
    </xf>
    <xf numFmtId="166" fontId="27" fillId="0" borderId="41" xfId="0" applyNumberFormat="1" applyFont="1" applyFill="1" applyBorder="1" applyAlignment="1">
      <alignment horizontal="right"/>
    </xf>
    <xf numFmtId="166" fontId="27" fillId="0" borderId="42" xfId="0" applyNumberFormat="1" applyFont="1" applyBorder="1" applyAlignment="1">
      <alignment horizontal="right"/>
    </xf>
    <xf numFmtId="0" fontId="26" fillId="0" borderId="13" xfId="0" applyFont="1" applyBorder="1" applyAlignment="1">
      <alignment horizontal="right"/>
    </xf>
    <xf numFmtId="0" fontId="5" fillId="0" borderId="13" xfId="0" applyFont="1" applyFill="1" applyBorder="1" applyAlignment="1">
      <alignment horizontal="right"/>
    </xf>
    <xf numFmtId="167" fontId="26" fillId="0" borderId="13" xfId="0" applyNumberFormat="1" applyFont="1" applyBorder="1" applyAlignment="1">
      <alignment horizontal="right"/>
    </xf>
    <xf numFmtId="0" fontId="26" fillId="0" borderId="37" xfId="0" applyFont="1" applyBorder="1" applyAlignment="1">
      <alignment horizontal="right"/>
    </xf>
    <xf numFmtId="0" fontId="5" fillId="0" borderId="41" xfId="0" applyFont="1" applyFill="1" applyBorder="1" applyAlignment="1">
      <alignment horizontal="right"/>
    </xf>
    <xf numFmtId="167" fontId="26" fillId="0" borderId="41" xfId="0" applyNumberFormat="1" applyFont="1" applyBorder="1" applyAlignment="1">
      <alignment horizontal="right"/>
    </xf>
    <xf numFmtId="0" fontId="26" fillId="0" borderId="42" xfId="0" applyFont="1" applyBorder="1" applyAlignment="1">
      <alignment horizontal="right"/>
    </xf>
    <xf numFmtId="164" fontId="0" fillId="0" borderId="23" xfId="0" applyNumberFormat="1" applyBorder="1"/>
    <xf numFmtId="164" fontId="22" fillId="3" borderId="3" xfId="0" applyNumberFormat="1" applyFont="1" applyFill="1" applyBorder="1"/>
    <xf numFmtId="164" fontId="0" fillId="0" borderId="7" xfId="0" applyNumberFormat="1" applyBorder="1"/>
    <xf numFmtId="164" fontId="0" fillId="0" borderId="9" xfId="0" applyNumberFormat="1" applyBorder="1"/>
    <xf numFmtId="0" fontId="30" fillId="0" borderId="10" xfId="0" applyFont="1" applyBorder="1" applyAlignment="1">
      <alignment horizontal="center" wrapText="1"/>
    </xf>
    <xf numFmtId="164" fontId="51" fillId="0" borderId="0" xfId="0" applyNumberFormat="1" applyFont="1" applyBorder="1"/>
    <xf numFmtId="0" fontId="30" fillId="0" borderId="45" xfId="0" applyFont="1" applyBorder="1" applyAlignment="1">
      <alignment horizontal="center" wrapText="1"/>
    </xf>
    <xf numFmtId="0" fontId="0" fillId="0" borderId="39" xfId="0" applyBorder="1"/>
    <xf numFmtId="171" fontId="0" fillId="3" borderId="7" xfId="0" applyNumberFormat="1" applyFill="1" applyBorder="1"/>
    <xf numFmtId="0" fontId="9" fillId="0" borderId="39" xfId="0" applyFont="1" applyBorder="1" applyAlignment="1">
      <alignment horizontal="center" wrapText="1"/>
    </xf>
    <xf numFmtId="0" fontId="53" fillId="0" borderId="0" xfId="0" applyFont="1" applyBorder="1" applyAlignment="1">
      <alignment horizontal="center"/>
    </xf>
    <xf numFmtId="0" fontId="53" fillId="0" borderId="0" xfId="0" applyFont="1" applyBorder="1" applyAlignment="1">
      <alignment horizontal="right"/>
    </xf>
    <xf numFmtId="164" fontId="27" fillId="0" borderId="12" xfId="3" applyNumberFormat="1" applyFont="1" applyBorder="1"/>
    <xf numFmtId="164" fontId="27" fillId="0" borderId="13" xfId="3" applyNumberFormat="1" applyFont="1" applyBorder="1"/>
    <xf numFmtId="164" fontId="27" fillId="0" borderId="2" xfId="3" applyNumberFormat="1" applyFont="1" applyBorder="1"/>
    <xf numFmtId="6" fontId="26" fillId="0" borderId="14" xfId="3" applyNumberFormat="1" applyFont="1" applyBorder="1" applyAlignment="1">
      <alignment horizontal="right"/>
    </xf>
    <xf numFmtId="6" fontId="26" fillId="0" borderId="15" xfId="3" applyNumberFormat="1" applyFont="1" applyBorder="1" applyAlignment="1">
      <alignment horizontal="right"/>
    </xf>
    <xf numFmtId="6" fontId="26" fillId="0" borderId="0" xfId="3" applyNumberFormat="1" applyFont="1" applyBorder="1" applyAlignment="1">
      <alignment horizontal="right"/>
    </xf>
    <xf numFmtId="6" fontId="26" fillId="0" borderId="16" xfId="3" applyNumberFormat="1" applyFont="1" applyBorder="1" applyAlignment="1">
      <alignment horizontal="right"/>
    </xf>
    <xf numFmtId="6" fontId="26" fillId="0" borderId="17" xfId="3" applyNumberFormat="1" applyFont="1" applyBorder="1" applyAlignment="1">
      <alignment horizontal="right"/>
    </xf>
    <xf numFmtId="6" fontId="26" fillId="0" borderId="18" xfId="3" applyNumberFormat="1" applyFont="1" applyBorder="1" applyAlignment="1">
      <alignment horizontal="right"/>
    </xf>
    <xf numFmtId="164" fontId="36" fillId="7" borderId="3" xfId="0" applyNumberFormat="1" applyFont="1" applyFill="1" applyBorder="1" applyAlignment="1" applyProtection="1">
      <alignment horizontal="center"/>
      <protection locked="0"/>
    </xf>
    <xf numFmtId="9" fontId="36" fillId="7" borderId="3" xfId="8" applyFont="1" applyFill="1" applyBorder="1" applyAlignment="1" applyProtection="1">
      <alignment horizontal="center"/>
      <protection locked="0"/>
    </xf>
    <xf numFmtId="9" fontId="36" fillId="7" borderId="3" xfId="0" applyNumberFormat="1" applyFont="1" applyFill="1" applyBorder="1" applyAlignment="1" applyProtection="1">
      <alignment horizontal="center"/>
      <protection locked="0"/>
    </xf>
    <xf numFmtId="0" fontId="23" fillId="0" borderId="0" xfId="0" applyFont="1" applyFill="1" applyBorder="1" applyAlignment="1">
      <alignment horizontal="right"/>
    </xf>
    <xf numFmtId="0" fontId="26" fillId="0" borderId="0" xfId="0" applyFont="1" applyFill="1" applyAlignment="1">
      <alignment horizontal="right"/>
    </xf>
    <xf numFmtId="3" fontId="50" fillId="5" borderId="3" xfId="0" applyNumberFormat="1" applyFont="1" applyFill="1" applyBorder="1" applyAlignment="1" applyProtection="1">
      <alignment horizontal="center"/>
      <protection locked="0"/>
    </xf>
    <xf numFmtId="3" fontId="27" fillId="0" borderId="3" xfId="0" applyNumberFormat="1" applyFont="1" applyFill="1" applyBorder="1" applyAlignment="1">
      <alignment horizontal="center"/>
    </xf>
    <xf numFmtId="37" fontId="34" fillId="0" borderId="3" xfId="0" applyNumberFormat="1" applyFont="1" applyFill="1" applyBorder="1" applyAlignment="1">
      <alignment horizontal="center"/>
    </xf>
    <xf numFmtId="0" fontId="26" fillId="0" borderId="3" xfId="0" applyFont="1" applyFill="1" applyBorder="1" applyAlignment="1">
      <alignment horizontal="right"/>
    </xf>
    <xf numFmtId="164" fontId="54" fillId="0" borderId="3" xfId="3" applyNumberFormat="1" applyFont="1" applyFill="1" applyBorder="1" applyAlignment="1">
      <alignment horizontal="right"/>
    </xf>
    <xf numFmtId="0" fontId="5" fillId="0" borderId="31" xfId="0" applyFont="1" applyFill="1" applyBorder="1" applyAlignment="1">
      <alignment wrapText="1"/>
    </xf>
    <xf numFmtId="164" fontId="26" fillId="0" borderId="32" xfId="0" applyNumberFormat="1" applyFont="1" applyFill="1" applyBorder="1" applyAlignment="1" applyProtection="1">
      <alignment horizontal="right"/>
      <protection locked="0"/>
    </xf>
    <xf numFmtId="0" fontId="5" fillId="0" borderId="8" xfId="0" applyFont="1" applyFill="1" applyBorder="1" applyAlignment="1">
      <alignment wrapText="1"/>
    </xf>
    <xf numFmtId="0" fontId="27" fillId="0" borderId="5" xfId="0" applyFont="1" applyFill="1" applyBorder="1" applyAlignment="1">
      <alignment horizontal="center" wrapText="1"/>
    </xf>
    <xf numFmtId="0" fontId="27" fillId="0" borderId="3" xfId="0" applyFont="1" applyFill="1" applyBorder="1" applyAlignment="1">
      <alignment horizontal="center" wrapText="1"/>
    </xf>
    <xf numFmtId="0" fontId="26" fillId="0" borderId="13" xfId="0" applyFont="1" applyFill="1" applyBorder="1" applyAlignment="1">
      <alignment horizontal="right"/>
    </xf>
    <xf numFmtId="0" fontId="26" fillId="0" borderId="41" xfId="0" applyFont="1" applyFill="1" applyBorder="1" applyAlignment="1">
      <alignment horizontal="right"/>
    </xf>
    <xf numFmtId="0" fontId="27" fillId="0" borderId="34" xfId="0" applyFont="1" applyFill="1" applyBorder="1" applyAlignment="1">
      <alignment horizontal="center" wrapText="1"/>
    </xf>
    <xf numFmtId="0" fontId="0" fillId="0" borderId="9" xfId="0" applyFill="1" applyBorder="1"/>
    <xf numFmtId="0" fontId="26" fillId="0" borderId="40" xfId="0" applyFont="1" applyFill="1" applyBorder="1" applyAlignment="1">
      <alignment wrapText="1"/>
    </xf>
    <xf numFmtId="0" fontId="35" fillId="10" borderId="0" xfId="0" applyFont="1" applyFill="1" applyAlignment="1">
      <alignment horizontal="center"/>
    </xf>
    <xf numFmtId="0" fontId="47" fillId="10" borderId="0" xfId="0" applyFont="1" applyFill="1" applyAlignment="1">
      <alignment horizontal="center"/>
    </xf>
    <xf numFmtId="0" fontId="46" fillId="10" borderId="0" xfId="0" applyFont="1" applyFill="1" applyAlignment="1">
      <alignment horizontal="center"/>
    </xf>
    <xf numFmtId="0" fontId="0" fillId="10" borderId="0" xfId="0" applyFill="1" applyAlignment="1"/>
    <xf numFmtId="0" fontId="1" fillId="11" borderId="0" xfId="5" applyFill="1" applyAlignment="1" applyProtection="1">
      <alignment horizontal="center" vertical="center"/>
    </xf>
    <xf numFmtId="0" fontId="1" fillId="0" borderId="0" xfId="5" applyAlignment="1" applyProtection="1">
      <alignment horizontal="center" vertical="center"/>
    </xf>
    <xf numFmtId="0" fontId="9" fillId="0" borderId="0" xfId="0" applyFont="1" applyAlignment="1">
      <alignment horizontal="left" wrapText="1"/>
    </xf>
    <xf numFmtId="44" fontId="33" fillId="0" borderId="17" xfId="3" applyFont="1" applyBorder="1" applyAlignment="1">
      <alignment horizontal="center"/>
    </xf>
    <xf numFmtId="0" fontId="33" fillId="0" borderId="1" xfId="0" applyFont="1" applyFill="1" applyBorder="1" applyAlignment="1">
      <alignment horizontal="center"/>
    </xf>
    <xf numFmtId="0" fontId="46" fillId="0" borderId="1" xfId="0" applyFont="1" applyFill="1" applyBorder="1" applyAlignment="1">
      <alignment horizontal="center"/>
    </xf>
    <xf numFmtId="0" fontId="37" fillId="5" borderId="0" xfId="0" applyFont="1" applyFill="1" applyBorder="1" applyAlignment="1" applyProtection="1">
      <alignment horizontal="center"/>
    </xf>
    <xf numFmtId="0" fontId="48" fillId="5" borderId="0" xfId="0" applyFont="1" applyFill="1" applyBorder="1" applyAlignment="1" applyProtection="1">
      <alignment horizontal="center"/>
    </xf>
    <xf numFmtId="0" fontId="37" fillId="5" borderId="0" xfId="0" applyFont="1" applyFill="1" applyBorder="1" applyAlignment="1" applyProtection="1"/>
    <xf numFmtId="2" fontId="6" fillId="0" borderId="0" xfId="0" applyNumberFormat="1" applyFont="1" applyFill="1" applyAlignment="1" applyProtection="1">
      <alignment horizontal="center"/>
    </xf>
    <xf numFmtId="0" fontId="29" fillId="0" borderId="0" xfId="0" applyFont="1" applyAlignment="1" applyProtection="1">
      <alignment horizontal="center"/>
    </xf>
    <xf numFmtId="0" fontId="49" fillId="0" borderId="0" xfId="0" applyFont="1" applyFill="1" applyBorder="1" applyAlignment="1" applyProtection="1">
      <alignment horizontal="left" wrapText="1"/>
    </xf>
    <xf numFmtId="0" fontId="0" fillId="0" borderId="0" xfId="0" applyAlignment="1" applyProtection="1">
      <alignment horizontal="left" wrapText="1"/>
    </xf>
    <xf numFmtId="0" fontId="45" fillId="5" borderId="0" xfId="0" applyFont="1" applyFill="1" applyBorder="1" applyAlignment="1" applyProtection="1">
      <alignment horizontal="right"/>
    </xf>
    <xf numFmtId="0" fontId="20" fillId="0" borderId="0" xfId="0" applyFont="1" applyAlignment="1" applyProtection="1">
      <alignment horizontal="right"/>
    </xf>
    <xf numFmtId="0" fontId="5" fillId="0" borderId="0" xfId="0" applyFont="1" applyFill="1" applyAlignment="1">
      <alignment horizontal="left" wrapText="1"/>
    </xf>
    <xf numFmtId="0" fontId="45" fillId="0" borderId="0" xfId="0" applyFont="1" applyFill="1" applyAlignment="1">
      <alignment horizontal="left" wrapText="1"/>
    </xf>
    <xf numFmtId="0" fontId="37" fillId="4" borderId="0" xfId="0" applyFont="1" applyFill="1" applyAlignment="1">
      <alignment horizontal="center" vertical="center"/>
    </xf>
    <xf numFmtId="0" fontId="36" fillId="4" borderId="0" xfId="0" applyFont="1" applyFill="1" applyAlignment="1">
      <alignment horizontal="center" vertical="center"/>
    </xf>
    <xf numFmtId="0" fontId="33" fillId="0" borderId="0" xfId="0" applyFont="1" applyAlignment="1">
      <alignment horizontal="center"/>
    </xf>
    <xf numFmtId="0" fontId="26" fillId="0" borderId="0" xfId="0" applyFont="1" applyFill="1" applyBorder="1" applyAlignment="1">
      <alignment horizontal="right"/>
    </xf>
    <xf numFmtId="0" fontId="26" fillId="0" borderId="16" xfId="0" applyFont="1" applyFill="1" applyBorder="1" applyAlignment="1">
      <alignment horizontal="right"/>
    </xf>
    <xf numFmtId="0" fontId="33" fillId="0" borderId="0" xfId="0" applyFont="1" applyFill="1" applyBorder="1" applyAlignment="1">
      <alignment horizontal="right"/>
    </xf>
    <xf numFmtId="0" fontId="33" fillId="0" borderId="16" xfId="0" applyFont="1" applyFill="1" applyBorder="1" applyAlignment="1">
      <alignment horizontal="right"/>
    </xf>
    <xf numFmtId="0" fontId="27" fillId="0" borderId="0" xfId="0" applyFont="1" applyAlignment="1">
      <alignment horizontal="center"/>
    </xf>
    <xf numFmtId="0" fontId="26" fillId="0" borderId="0" xfId="0" applyFont="1" applyAlignment="1">
      <alignment horizontal="center"/>
    </xf>
    <xf numFmtId="0" fontId="26" fillId="0" borderId="2" xfId="0" applyFont="1" applyBorder="1" applyAlignment="1">
      <alignment horizontal="center"/>
    </xf>
    <xf numFmtId="0" fontId="26" fillId="0" borderId="39" xfId="0" applyFont="1" applyBorder="1" applyAlignment="1">
      <alignment horizontal="center"/>
    </xf>
    <xf numFmtId="0" fontId="27" fillId="0" borderId="44" xfId="0" applyFont="1" applyBorder="1" applyAlignment="1">
      <alignment horizontal="center"/>
    </xf>
    <xf numFmtId="0" fontId="26" fillId="0" borderId="44" xfId="0" applyFont="1" applyBorder="1" applyAlignment="1">
      <alignment horizontal="center"/>
    </xf>
    <xf numFmtId="0" fontId="26" fillId="0" borderId="45" xfId="0" applyFont="1" applyBorder="1" applyAlignment="1">
      <alignment horizontal="center"/>
    </xf>
    <xf numFmtId="0" fontId="27" fillId="0" borderId="43" xfId="0" applyFont="1" applyBorder="1" applyAlignment="1">
      <alignment horizontal="center" wrapText="1"/>
    </xf>
    <xf numFmtId="0" fontId="27" fillId="0" borderId="38" xfId="0" applyFont="1" applyBorder="1" applyAlignment="1">
      <alignment horizontal="center" wrapText="1"/>
    </xf>
    <xf numFmtId="0" fontId="10" fillId="0" borderId="0" xfId="0" applyFont="1" applyBorder="1" applyAlignment="1">
      <alignment horizontal="left" wrapText="1"/>
    </xf>
  </cellXfs>
  <cellStyles count="26">
    <cellStyle name="Comma" xfId="1" builtinId="3"/>
    <cellStyle name="Comma 2" xfId="2"/>
    <cellStyle name="Currency" xfId="3" builtinId="4"/>
    <cellStyle name="Currency 2" xfId="4"/>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Hyperlink" xfId="5" builtinId="8"/>
    <cellStyle name="Hyperlink 2" xfId="6"/>
    <cellStyle name="Normal" xfId="0" builtinId="0"/>
    <cellStyle name="Normal 2" xfId="7"/>
    <cellStyle name="Percent" xfId="8" builtinId="5"/>
    <cellStyle name="Percent 2" xfId="9"/>
  </cellStyles>
  <dxfs count="0"/>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352425</xdr:colOff>
      <xdr:row>5</xdr:row>
      <xdr:rowOff>123825</xdr:rowOff>
    </xdr:from>
    <xdr:ext cx="184666" cy="261610"/>
    <xdr:sp macro="" textlink="">
      <xdr:nvSpPr>
        <xdr:cNvPr id="2" name="TextBox 1"/>
        <xdr:cNvSpPr txBox="1"/>
      </xdr:nvSpPr>
      <xdr:spPr>
        <a:xfrm>
          <a:off x="1050925" y="1292225"/>
          <a:ext cx="184666"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0</xdr:col>
      <xdr:colOff>127000</xdr:colOff>
      <xdr:row>3</xdr:row>
      <xdr:rowOff>66674</xdr:rowOff>
    </xdr:from>
    <xdr:ext cx="7454900" cy="2905125"/>
    <xdr:sp macro="" textlink="">
      <xdr:nvSpPr>
        <xdr:cNvPr id="3" name="TextBox 2"/>
        <xdr:cNvSpPr txBox="1"/>
      </xdr:nvSpPr>
      <xdr:spPr>
        <a:xfrm>
          <a:off x="127000" y="714374"/>
          <a:ext cx="7454900" cy="2905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lnSpc>
              <a:spcPts val="1200"/>
            </a:lnSpc>
          </a:pPr>
          <a:r>
            <a:rPr lang="en-US" sz="1400" b="1">
              <a:latin typeface="Arial" pitchFamily="34" charset="0"/>
              <a:cs typeface="Arial" pitchFamily="34" charset="0"/>
            </a:rPr>
            <a:t>Introduction</a:t>
          </a:r>
        </a:p>
        <a:p>
          <a:pPr algn="l">
            <a:lnSpc>
              <a:spcPts val="1200"/>
            </a:lnSpc>
          </a:pPr>
          <a:endParaRPr lang="en-US" sz="1100" b="1">
            <a:latin typeface="Arial" pitchFamily="34" charset="0"/>
            <a:cs typeface="Arial" pitchFamily="34" charset="0"/>
          </a:endParaRPr>
        </a:p>
        <a:p>
          <a:pPr algn="l">
            <a:lnSpc>
              <a:spcPts val="1100"/>
            </a:lnSpc>
          </a:pPr>
          <a:r>
            <a:rPr lang="en-US" sz="1200">
              <a:latin typeface="Arial"/>
              <a:cs typeface="Arial"/>
            </a:rPr>
            <a:t>This small-scale cultchless oyster enterprise budget is</a:t>
          </a:r>
          <a:r>
            <a:rPr lang="en-US" sz="1200" baseline="0">
              <a:latin typeface="Arial"/>
              <a:cs typeface="Arial"/>
            </a:rPr>
            <a:t> intended to</a:t>
          </a:r>
          <a:r>
            <a:rPr lang="en-US" sz="1200">
              <a:latin typeface="Arial"/>
              <a:cs typeface="Arial"/>
            </a:rPr>
            <a:t> characterize a typical operation; the numbers are based on industry surveys and interviews. However, each oyster farm is different</a:t>
          </a:r>
          <a:r>
            <a:rPr lang="en-US" sz="1200" baseline="0">
              <a:latin typeface="Arial"/>
              <a:cs typeface="Arial"/>
            </a:rPr>
            <a:t> and n</a:t>
          </a:r>
          <a:r>
            <a:rPr lang="en-US" sz="1200">
              <a:latin typeface="Arial"/>
              <a:cs typeface="Arial"/>
            </a:rPr>
            <a:t>umbers need to be modified to account for those differences. Capital structure, production practices, location, etc., vary and affect costs and returns. In particular, labor estimates should be carefully considered so these costs reflect your operation. Labor is the costliest budget item and, therefore, it affects profit more than other categories.  </a:t>
          </a:r>
        </a:p>
        <a:p>
          <a:pPr algn="l">
            <a:lnSpc>
              <a:spcPts val="1200"/>
            </a:lnSpc>
          </a:pPr>
          <a:endParaRPr lang="en-US" sz="1200">
            <a:latin typeface="Arial"/>
            <a:cs typeface="Arial"/>
          </a:endParaRPr>
        </a:p>
        <a:p>
          <a:pPr algn="l">
            <a:lnSpc>
              <a:spcPts val="1200"/>
            </a:lnSpc>
          </a:pPr>
          <a:r>
            <a:rPr lang="en-US" sz="1200" b="1" i="0" u="none" strike="noStrike">
              <a:solidFill>
                <a:schemeClr val="tx1"/>
              </a:solidFill>
              <a:effectLst/>
              <a:latin typeface="Arial"/>
              <a:ea typeface="+mn-ea"/>
              <a:cs typeface="Arial"/>
            </a:rPr>
            <a:t>An important note of caution</a:t>
          </a:r>
          <a:r>
            <a:rPr lang="en-US" sz="1200" b="0" i="0" u="none" strike="noStrike">
              <a:solidFill>
                <a:schemeClr val="tx1"/>
              </a:solidFill>
              <a:effectLst/>
              <a:latin typeface="Arial"/>
              <a:ea typeface="+mn-ea"/>
              <a:cs typeface="Arial"/>
            </a:rPr>
            <a:t>: This budget stops "at the farm gate” and does not include marketing costs. It</a:t>
          </a:r>
          <a:r>
            <a:rPr lang="en-US" sz="1200" b="0" i="0" u="none" strike="noStrike" baseline="0">
              <a:solidFill>
                <a:schemeClr val="tx1"/>
              </a:solidFill>
              <a:effectLst/>
              <a:latin typeface="Arial"/>
              <a:ea typeface="+mn-ea"/>
              <a:cs typeface="Arial"/>
            </a:rPr>
            <a:t> </a:t>
          </a:r>
          <a:r>
            <a:rPr lang="en-US" sz="1200" b="0" i="0" u="none" strike="noStrike">
              <a:solidFill>
                <a:schemeClr val="tx1"/>
              </a:solidFill>
              <a:effectLst/>
              <a:latin typeface="Arial"/>
              <a:ea typeface="+mn-ea"/>
              <a:cs typeface="Arial"/>
            </a:rPr>
            <a:t>assumes that a wholesale distributor does the marketing. Thus, costs such as additional refrigerated transportation, shipping costs, and packaging materials are not considered.  </a:t>
          </a:r>
          <a:r>
            <a:rPr lang="en-US" sz="1200" i="0">
              <a:effectLst/>
              <a:latin typeface="Arial"/>
              <a:cs typeface="Arial"/>
            </a:rPr>
            <a:t> </a:t>
          </a:r>
          <a:endParaRPr lang="en-US" sz="1200" i="0">
            <a:latin typeface="Arial"/>
            <a:cs typeface="Arial"/>
          </a:endParaRPr>
        </a:p>
        <a:p>
          <a:pPr algn="l">
            <a:lnSpc>
              <a:spcPts val="1100"/>
            </a:lnSpc>
          </a:pPr>
          <a:endParaRPr lang="en-US" sz="1200">
            <a:latin typeface="Arial"/>
            <a:cs typeface="Arial"/>
          </a:endParaRPr>
        </a:p>
        <a:p>
          <a:pPr algn="l">
            <a:lnSpc>
              <a:spcPts val="1100"/>
            </a:lnSpc>
          </a:pPr>
          <a:r>
            <a:rPr lang="en-US" sz="1200" b="0">
              <a:latin typeface="Arial"/>
              <a:cs typeface="Arial"/>
            </a:rPr>
            <a:t>For a complete guide</a:t>
          </a:r>
          <a:r>
            <a:rPr lang="en-US" sz="1200" b="0" baseline="0">
              <a:latin typeface="Arial"/>
              <a:cs typeface="Arial"/>
            </a:rPr>
            <a:t> to understanding this budget spreadsheet, refer to Virginia Cooperative Extension publication AAEC-40P, "</a:t>
          </a:r>
          <a:r>
            <a:rPr lang="en-US" sz="1200" b="0" baseline="0">
              <a:solidFill>
                <a:schemeClr val="tx1"/>
              </a:solidFill>
              <a:latin typeface="Arial"/>
              <a:cs typeface="Arial"/>
            </a:rPr>
            <a:t>Cultchless (Single-Seed Oyster Crop Budgets for Virginia: 2013 User Manual," that accompanies these worksheets.</a:t>
          </a:r>
          <a:endParaRPr lang="en-US" sz="1200" b="0">
            <a:solidFill>
              <a:schemeClr val="tx1"/>
            </a:solidFill>
            <a:latin typeface="Arial"/>
            <a:cs typeface="Arial"/>
          </a:endParaRPr>
        </a:p>
      </xdr:txBody>
    </xdr:sp>
    <xdr:clientData/>
  </xdr:oneCellAnchor>
  <xdr:oneCellAnchor>
    <xdr:from>
      <xdr:col>11</xdr:col>
      <xdr:colOff>222250</xdr:colOff>
      <xdr:row>48</xdr:row>
      <xdr:rowOff>120650</xdr:rowOff>
    </xdr:from>
    <xdr:ext cx="184666" cy="261610"/>
    <xdr:sp macro="" textlink="">
      <xdr:nvSpPr>
        <xdr:cNvPr id="5" name="TextBox 4"/>
        <xdr:cNvSpPr txBox="1"/>
      </xdr:nvSpPr>
      <xdr:spPr>
        <a:xfrm>
          <a:off x="10560050" y="9290050"/>
          <a:ext cx="184666"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9</xdr:col>
      <xdr:colOff>728133</xdr:colOff>
      <xdr:row>1</xdr:row>
      <xdr:rowOff>234950</xdr:rowOff>
    </xdr:from>
    <xdr:ext cx="5858933" cy="3939117"/>
    <xdr:sp macro="" textlink="">
      <xdr:nvSpPr>
        <xdr:cNvPr id="6" name="TextBox 5"/>
        <xdr:cNvSpPr txBox="1"/>
      </xdr:nvSpPr>
      <xdr:spPr>
        <a:xfrm>
          <a:off x="8475133" y="429683"/>
          <a:ext cx="5858933" cy="3939117"/>
        </a:xfrm>
        <a:prstGeom prst="rect">
          <a:avLst/>
        </a:prstGeom>
        <a:solidFill>
          <a:schemeClr val="bg1"/>
        </a:solidFill>
        <a:ln w="9525">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lgn="ctr">
            <a:lnSpc>
              <a:spcPts val="1200"/>
            </a:lnSpc>
            <a:buFont typeface="Arial" pitchFamily="34" charset="0"/>
            <a:buNone/>
          </a:pPr>
          <a:r>
            <a:rPr lang="en-US" sz="1050" b="1">
              <a:latin typeface="Arial" pitchFamily="34" charset="0"/>
              <a:cs typeface="Arial" pitchFamily="34" charset="0"/>
            </a:rPr>
            <a:t>General Guidelines</a:t>
          </a:r>
        </a:p>
        <a:p>
          <a:pPr marL="0" indent="0" algn="l">
            <a:lnSpc>
              <a:spcPts val="1200"/>
            </a:lnSpc>
            <a:buFont typeface="Arial" pitchFamily="34" charset="0"/>
            <a:buNone/>
          </a:pPr>
          <a:endParaRPr kumimoji="0" lang="en-US" sz="1050" b="1" i="0" u="none" strike="noStrike" kern="0" cap="none" spc="0" normalizeH="0" baseline="0" noProof="0">
            <a:ln>
              <a:noFill/>
            </a:ln>
            <a:solidFill>
              <a:prstClr val="black"/>
            </a:solidFill>
            <a:effectLst/>
            <a:uLnTx/>
            <a:uFillTx/>
            <a:latin typeface="Arial" pitchFamily="34" charset="0"/>
            <a:ea typeface="+mn-ea"/>
            <a:cs typeface="Arial" pitchFamily="34" charset="0"/>
          </a:endParaRPr>
        </a:p>
        <a:p>
          <a:pPr marL="0" indent="0" algn="l">
            <a:lnSpc>
              <a:spcPts val="1200"/>
            </a:lnSpc>
            <a:buFont typeface="Arial" pitchFamily="34" charset="0"/>
            <a:buNone/>
          </a:pPr>
          <a:r>
            <a:rPr kumimoji="0" lang="en-US" sz="1050" b="1" i="0" u="none" strike="noStrike" kern="0" cap="none" spc="0" normalizeH="0" baseline="0" noProof="0">
              <a:ln>
                <a:noFill/>
              </a:ln>
              <a:solidFill>
                <a:prstClr val="black"/>
              </a:solidFill>
              <a:effectLst/>
              <a:uLnTx/>
              <a:uFillTx/>
              <a:latin typeface="Arial" pitchFamily="34" charset="0"/>
              <a:ea typeface="+mn-ea"/>
              <a:cs typeface="Arial" pitchFamily="34" charset="0"/>
            </a:rPr>
            <a:t>• </a:t>
          </a:r>
          <a:r>
            <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rPr>
            <a:t>This budget is for growers marketing 50,000 to 250,000 oysters per year.</a:t>
          </a:r>
        </a:p>
        <a:p>
          <a:pPr marL="457200" lvl="1" indent="0" algn="l">
            <a:lnSpc>
              <a:spcPts val="1200"/>
            </a:lnSpc>
            <a:buFont typeface="Arial" pitchFamily="34" charset="0"/>
            <a:buNone/>
          </a:pPr>
          <a:r>
            <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rPr>
            <a:t>- If marketing more than 250,000 per year, use the medium-scale budget.</a:t>
          </a:r>
        </a:p>
        <a:p>
          <a:pPr marL="457200" lvl="1" indent="0" algn="l">
            <a:lnSpc>
              <a:spcPts val="1200"/>
            </a:lnSpc>
            <a:buFont typeface="Arial" pitchFamily="34" charset="0"/>
            <a:buNone/>
          </a:pPr>
          <a:r>
            <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rPr>
            <a:t>- The basic difference:  </a:t>
          </a:r>
        </a:p>
        <a:p>
          <a:pPr marL="914400" lvl="2" indent="0" algn="l">
            <a:lnSpc>
              <a:spcPts val="1200"/>
            </a:lnSpc>
            <a:buFont typeface="Arial" pitchFamily="34" charset="0"/>
            <a:buNone/>
          </a:pPr>
          <a:r>
            <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rPr>
            <a:t>• Small-scale − Purchase 6 mm to 12 mm seed with no nursery (upwelling) investment.</a:t>
          </a:r>
        </a:p>
        <a:p>
          <a:pPr marL="914400" lvl="2" indent="0" algn="l">
            <a:lnSpc>
              <a:spcPts val="1200"/>
            </a:lnSpc>
            <a:buFont typeface="Arial" pitchFamily="34" charset="0"/>
            <a:buNone/>
          </a:pPr>
          <a:r>
            <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rPr>
            <a:t>• Medium-scale − Purchase 1 mm to 2 mm seed with nursery investment.</a:t>
          </a:r>
        </a:p>
        <a:p>
          <a:pPr marL="457200" lvl="1" indent="0" algn="l">
            <a:lnSpc>
              <a:spcPts val="1200"/>
            </a:lnSpc>
            <a:buFont typeface="Arial" pitchFamily="34" charset="0"/>
            <a:buNone/>
          </a:pPr>
          <a:endPar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endParaRPr>
        </a:p>
        <a:p>
          <a:pPr marL="0" lvl="0" indent="0" algn="l">
            <a:lnSpc>
              <a:spcPts val="1200"/>
            </a:lnSpc>
            <a:buFont typeface="Arial" pitchFamily="34" charset="0"/>
            <a:buNone/>
          </a:pPr>
          <a:r>
            <a:rPr kumimoji="0" lang="en-US" sz="1050" b="0" i="0" u="none" strike="noStrike" kern="0" cap="none" spc="0" normalizeH="0" baseline="0" noProof="0">
              <a:ln>
                <a:noFill/>
              </a:ln>
              <a:solidFill>
                <a:prstClr val="black"/>
              </a:solidFill>
              <a:effectLst/>
              <a:uLnTx/>
              <a:uFillTx/>
              <a:latin typeface="Arial" pitchFamily="34" charset="0"/>
              <a:ea typeface="+mn-ea"/>
              <a:cs typeface="Arial" pitchFamily="34" charset="0"/>
            </a:rPr>
            <a:t>• </a:t>
          </a:r>
          <a:r>
            <a:rPr lang="en-US" sz="1050" b="0">
              <a:latin typeface="Arial" pitchFamily="34" charset="0"/>
              <a:cs typeface="Arial" pitchFamily="34" charset="0"/>
            </a:rPr>
            <a:t>Changing cells.</a:t>
          </a:r>
          <a:endParaRPr lang="en-US" sz="1050" b="0" u="sng" baseline="0">
            <a:latin typeface="Arial" pitchFamily="34" charset="0"/>
            <a:cs typeface="Arial" pitchFamily="34" charset="0"/>
          </a:endParaRPr>
        </a:p>
        <a:p>
          <a:pPr marL="457200" lvl="1" indent="0" algn="l">
            <a:lnSpc>
              <a:spcPts val="1200"/>
            </a:lnSpc>
            <a:buFont typeface="Arial" pitchFamily="34" charset="0"/>
            <a:buNone/>
          </a:pPr>
          <a:r>
            <a:rPr lang="en-US" sz="1050" b="0" u="none" baseline="0">
              <a:latin typeface="Arial" pitchFamily="34" charset="0"/>
              <a:cs typeface="Arial" pitchFamily="34" charset="0"/>
            </a:rPr>
            <a:t>- </a:t>
          </a:r>
          <a:r>
            <a:rPr lang="en-US" sz="1050" b="0" baseline="0">
              <a:latin typeface="Arial" pitchFamily="34" charset="0"/>
              <a:cs typeface="Arial" pitchFamily="34" charset="0"/>
            </a:rPr>
            <a:t>Cells with the most impact and most farm-to-farm variability are noted in maroon with a diagonal line fill.</a:t>
          </a:r>
        </a:p>
        <a:p>
          <a:pPr marL="457200" lvl="1" indent="0" algn="l">
            <a:lnSpc>
              <a:spcPts val="1200"/>
            </a:lnSpc>
            <a:buFont typeface="Arial" pitchFamily="34" charset="0"/>
            <a:buNone/>
          </a:pPr>
          <a:r>
            <a:rPr lang="en-US" sz="1050" b="0" baseline="0">
              <a:latin typeface="Arial" pitchFamily="34" charset="0"/>
              <a:cs typeface="Arial" pitchFamily="34" charset="0"/>
            </a:rPr>
            <a:t>- Some cells are locked in order to protect formulas.</a:t>
          </a:r>
        </a:p>
        <a:p>
          <a:pPr marL="457200" lvl="1" indent="0" algn="l">
            <a:lnSpc>
              <a:spcPts val="1200"/>
            </a:lnSpc>
            <a:buFont typeface="Arial" pitchFamily="34" charset="0"/>
            <a:buNone/>
          </a:pPr>
          <a:r>
            <a:rPr lang="en-US" sz="1050" b="0" baseline="0">
              <a:latin typeface="Arial" pitchFamily="34" charset="0"/>
              <a:cs typeface="Arial" pitchFamily="34" charset="0"/>
            </a:rPr>
            <a:t>- Changes to capital costs of the depreciation items must be made on the </a:t>
          </a:r>
          <a:r>
            <a:rPr lang="en-US" sz="1050" b="1" baseline="0">
              <a:latin typeface="Arial" pitchFamily="34" charset="0"/>
              <a:cs typeface="Arial" pitchFamily="34" charset="0"/>
            </a:rPr>
            <a:t>Line Item Notes </a:t>
          </a:r>
          <a:r>
            <a:rPr lang="en-US" sz="1050" b="0" baseline="0">
              <a:latin typeface="Arial" pitchFamily="34" charset="0"/>
              <a:cs typeface="Arial" pitchFamily="34" charset="0"/>
            </a:rPr>
            <a:t>worksheet (not on the main budget worksheet).</a:t>
          </a:r>
        </a:p>
        <a:p>
          <a:pPr marL="457200" lvl="1" indent="0" algn="l">
            <a:lnSpc>
              <a:spcPts val="1200"/>
            </a:lnSpc>
            <a:buFont typeface="Arial" pitchFamily="34" charset="0"/>
            <a:buNone/>
          </a:pPr>
          <a:endParaRPr lang="en-US" sz="1050" b="0" baseline="0">
            <a:latin typeface="Arial" pitchFamily="34" charset="0"/>
            <a:cs typeface="Arial" pitchFamily="34" charset="0"/>
          </a:endParaRPr>
        </a:p>
        <a:p>
          <a:pPr marL="0" lvl="0" indent="0" algn="l">
            <a:lnSpc>
              <a:spcPts val="1200"/>
            </a:lnSpc>
            <a:buFont typeface="Arial" pitchFamily="34" charset="0"/>
            <a:buNone/>
          </a:pPr>
          <a:r>
            <a:rPr lang="en-US" sz="1050" b="0" baseline="0">
              <a:latin typeface="Arial" pitchFamily="34" charset="0"/>
              <a:cs typeface="Arial" pitchFamily="34" charset="0"/>
            </a:rPr>
            <a:t>• Worksheets: Oyster Crop Budget, Line Item Notes, and Budget Evaluation. To move between worksheets, select tabs at the bottom of the screen.</a:t>
          </a:r>
        </a:p>
        <a:p>
          <a:pPr marL="457200" lvl="1" indent="0">
            <a:lnSpc>
              <a:spcPts val="1100"/>
            </a:lnSpc>
            <a:buFont typeface="Wingdings" pitchFamily="2" charset="2"/>
            <a:buNone/>
          </a:pPr>
          <a:r>
            <a:rPr lang="en-US" sz="1050" b="0" u="none" baseline="0">
              <a:latin typeface="Arial" pitchFamily="34" charset="0"/>
              <a:cs typeface="Arial" pitchFamily="34" charset="0"/>
            </a:rPr>
            <a:t>- </a:t>
          </a:r>
          <a:r>
            <a:rPr lang="en-US" sz="1050" b="1" u="none" baseline="0">
              <a:latin typeface="Arial" pitchFamily="34" charset="0"/>
              <a:cs typeface="Arial" pitchFamily="34" charset="0"/>
            </a:rPr>
            <a:t>Oyster Crop Budget </a:t>
          </a:r>
          <a:r>
            <a:rPr lang="en-US" sz="1050" b="0" u="none" baseline="0">
              <a:latin typeface="Arial" pitchFamily="34" charset="0"/>
              <a:cs typeface="Arial" pitchFamily="34" charset="0"/>
            </a:rPr>
            <a:t>−</a:t>
          </a:r>
          <a:r>
            <a:rPr lang="en-US" sz="1050" b="0" baseline="0">
              <a:latin typeface="Arial" pitchFamily="34" charset="0"/>
              <a:cs typeface="Arial" pitchFamily="34" charset="0"/>
            </a:rPr>
            <a:t> The main budget spreadsheet.</a:t>
          </a:r>
        </a:p>
        <a:p>
          <a:pPr marL="457200" lvl="1" indent="0">
            <a:lnSpc>
              <a:spcPts val="1100"/>
            </a:lnSpc>
            <a:buFont typeface="Wingdings" pitchFamily="2" charset="2"/>
            <a:buNone/>
          </a:pPr>
          <a:r>
            <a:rPr lang="en-US" sz="1050" b="0" u="none" baseline="0">
              <a:latin typeface="Arial" pitchFamily="34" charset="0"/>
              <a:cs typeface="Arial" pitchFamily="34" charset="0"/>
            </a:rPr>
            <a:t>- </a:t>
          </a:r>
          <a:r>
            <a:rPr lang="en-US" sz="1050" b="1" u="none" baseline="0">
              <a:latin typeface="Arial" pitchFamily="34" charset="0"/>
              <a:cs typeface="Arial" pitchFamily="34" charset="0"/>
            </a:rPr>
            <a:t>Line Item Notes </a:t>
          </a:r>
          <a:r>
            <a:rPr lang="en-US" sz="1050" b="0" u="none" baseline="0">
              <a:latin typeface="Arial" pitchFamily="34" charset="0"/>
              <a:cs typeface="Arial" pitchFamily="34" charset="0"/>
            </a:rPr>
            <a:t>−</a:t>
          </a:r>
          <a:r>
            <a:rPr lang="en-US" sz="1050" b="0" baseline="0">
              <a:latin typeface="Arial" pitchFamily="34" charset="0"/>
              <a:cs typeface="Arial" pitchFamily="34" charset="0"/>
            </a:rPr>
            <a:t> Explanation of certain line items (labor, fuel, and capital costs − gear). Changes here will carry over to the main budget.</a:t>
          </a:r>
        </a:p>
        <a:p>
          <a:pPr marL="457200" lvl="1" indent="0">
            <a:lnSpc>
              <a:spcPts val="1200"/>
            </a:lnSpc>
            <a:buFont typeface="Wingdings" pitchFamily="2" charset="2"/>
            <a:buNone/>
          </a:pPr>
          <a:r>
            <a:rPr lang="en-US" sz="1050" b="0" u="none" baseline="0">
              <a:latin typeface="Arial" pitchFamily="34" charset="0"/>
              <a:cs typeface="Arial" pitchFamily="34" charset="0"/>
            </a:rPr>
            <a:t>- </a:t>
          </a:r>
          <a:r>
            <a:rPr lang="en-US" sz="1050" b="1" u="none" baseline="0">
              <a:latin typeface="Arial" pitchFamily="34" charset="0"/>
              <a:cs typeface="Arial" pitchFamily="34" charset="0"/>
            </a:rPr>
            <a:t>Budget Evaluation </a:t>
          </a:r>
          <a:r>
            <a:rPr lang="en-US" sz="1050" b="0" u="none" baseline="0">
              <a:latin typeface="Arial" pitchFamily="34" charset="0"/>
              <a:cs typeface="Arial" pitchFamily="34" charset="0"/>
            </a:rPr>
            <a:t>− O</a:t>
          </a:r>
          <a:r>
            <a:rPr lang="en-US" sz="1050" b="0" baseline="0">
              <a:latin typeface="Arial" pitchFamily="34" charset="0"/>
              <a:cs typeface="Arial" pitchFamily="34" charset="0"/>
            </a:rPr>
            <a:t>utlines your specific budget in terms of cost of items as a percentage of the total budget and the cost of production per oyster.</a:t>
          </a:r>
        </a:p>
        <a:p>
          <a:pPr marL="457200" lvl="1" indent="0">
            <a:lnSpc>
              <a:spcPts val="1200"/>
            </a:lnSpc>
            <a:buFont typeface="Wingdings" pitchFamily="2" charset="2"/>
            <a:buNone/>
          </a:pPr>
          <a:endParaRPr lang="en-US" sz="1050" b="0" baseline="0">
            <a:latin typeface="Arial" pitchFamily="34" charset="0"/>
            <a:cs typeface="Arial" pitchFamily="34" charset="0"/>
          </a:endParaRPr>
        </a:p>
        <a:p>
          <a:pPr marL="171450" lvl="0" indent="-171450">
            <a:lnSpc>
              <a:spcPts val="1200"/>
            </a:lnSpc>
            <a:buFont typeface="Arial" pitchFamily="34" charset="0"/>
            <a:buChar char="•"/>
          </a:pPr>
          <a:r>
            <a:rPr lang="en-US" sz="1050" b="0" baseline="0">
              <a:latin typeface="Arial" pitchFamily="34" charset="0"/>
              <a:cs typeface="Arial" pitchFamily="34" charset="0"/>
            </a:rPr>
            <a:t>Hovering your mouse pointer over cells with red triangles in the corner shows explanations.</a:t>
          </a:r>
        </a:p>
      </xdr:txBody>
    </xdr:sp>
    <xdr:clientData/>
  </xdr:oneCellAnchor>
  <xdr:oneCellAnchor>
    <xdr:from>
      <xdr:col>9</xdr:col>
      <xdr:colOff>0</xdr:colOff>
      <xdr:row>46</xdr:row>
      <xdr:rowOff>123825</xdr:rowOff>
    </xdr:from>
    <xdr:ext cx="184666" cy="261610"/>
    <xdr:sp macro="" textlink="">
      <xdr:nvSpPr>
        <xdr:cNvPr id="8" name="TextBox 7"/>
        <xdr:cNvSpPr txBox="1"/>
      </xdr:nvSpPr>
      <xdr:spPr>
        <a:xfrm>
          <a:off x="8448675" y="8912225"/>
          <a:ext cx="184666"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0</xdr:col>
      <xdr:colOff>76200</xdr:colOff>
      <xdr:row>19</xdr:row>
      <xdr:rowOff>25400</xdr:rowOff>
    </xdr:from>
    <xdr:ext cx="7484533" cy="3472105"/>
    <xdr:sp macro="" textlink="">
      <xdr:nvSpPr>
        <xdr:cNvPr id="9" name="TextBox 8"/>
        <xdr:cNvSpPr txBox="1"/>
      </xdr:nvSpPr>
      <xdr:spPr>
        <a:xfrm>
          <a:off x="76200" y="3759200"/>
          <a:ext cx="7484533" cy="3472105"/>
        </a:xfrm>
        <a:prstGeom prst="rect">
          <a:avLst/>
        </a:prstGeom>
        <a:solidFill>
          <a:schemeClr val="bg1"/>
        </a:solid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lnSpc>
              <a:spcPct val="150000"/>
            </a:lnSpc>
          </a:pPr>
          <a:r>
            <a:rPr lang="en-US" sz="1050" b="1" i="0" u="none" strike="noStrike">
              <a:solidFill>
                <a:schemeClr val="tx1"/>
              </a:solidFill>
              <a:effectLst/>
              <a:latin typeface="Arial" pitchFamily="34" charset="0"/>
              <a:ea typeface="+mn-ea"/>
              <a:cs typeface="Arial" pitchFamily="34" charset="0"/>
            </a:rPr>
            <a:t>Basic steps for using this spreadsheet:</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1.</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Open the </a:t>
          </a:r>
          <a:r>
            <a:rPr lang="en-US" sz="1050" b="1" i="0" u="none" strike="noStrike">
              <a:solidFill>
                <a:schemeClr val="tx1"/>
              </a:solidFill>
              <a:effectLst/>
              <a:latin typeface="Arial" pitchFamily="34" charset="0"/>
              <a:ea typeface="+mn-ea"/>
              <a:cs typeface="Arial" pitchFamily="34" charset="0"/>
            </a:rPr>
            <a:t>Oyster Crop Budget </a:t>
          </a:r>
          <a:r>
            <a:rPr lang="en-US" sz="1050" b="0" i="0" u="none" strike="noStrike">
              <a:solidFill>
                <a:schemeClr val="tx1"/>
              </a:solidFill>
              <a:effectLst/>
              <a:latin typeface="Arial" pitchFamily="34" charset="0"/>
              <a:ea typeface="+mn-ea"/>
              <a:cs typeface="Arial" pitchFamily="34" charset="0"/>
            </a:rPr>
            <a:t>worksheet and enter your target oyster sales.</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2.</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Modify the key variables if needed (upper left-hand box in maroon).</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3.</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Review your Year 1 and Year 2 revenue (based on inputs so far).</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4.</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Review and modify operating expenses (columns C and D) as needed.</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5.</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Review and modify fixed costs (columns C and D) as needed.</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6. Review depreciation expenses by opening the </a:t>
          </a:r>
          <a:r>
            <a:rPr lang="en-US" sz="1050" b="1" i="0" u="none" strike="noStrike">
              <a:solidFill>
                <a:schemeClr val="tx1"/>
              </a:solidFill>
              <a:effectLst/>
              <a:latin typeface="Arial" pitchFamily="34" charset="0"/>
              <a:ea typeface="+mn-ea"/>
              <a:cs typeface="Arial" pitchFamily="34" charset="0"/>
            </a:rPr>
            <a:t>Line Item Notes </a:t>
          </a:r>
          <a:r>
            <a:rPr lang="en-US" sz="1050" b="0" i="0" u="none" strike="noStrike">
              <a:solidFill>
                <a:schemeClr val="tx1"/>
              </a:solidFill>
              <a:effectLst/>
              <a:latin typeface="Arial" pitchFamily="34" charset="0"/>
              <a:ea typeface="+mn-ea"/>
              <a:cs typeface="Arial" pitchFamily="34" charset="0"/>
            </a:rPr>
            <a:t>worksheet. (Changes in capital costs and depreciation should be made in the Line Item Notes worksheet only.) </a:t>
          </a:r>
          <a:r>
            <a:rPr lang="en-US" sz="1050" i="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7.</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Return to the </a:t>
          </a:r>
          <a:r>
            <a:rPr lang="en-US" sz="1050" b="1" i="0" u="none" strike="noStrike">
              <a:solidFill>
                <a:schemeClr val="tx1"/>
              </a:solidFill>
              <a:effectLst/>
              <a:latin typeface="Arial" pitchFamily="34" charset="0"/>
              <a:ea typeface="+mn-ea"/>
              <a:cs typeface="Arial" pitchFamily="34" charset="0"/>
            </a:rPr>
            <a:t>Oyster Crop Budget </a:t>
          </a:r>
          <a:r>
            <a:rPr lang="en-US" sz="1050" b="0" i="0" u="none" strike="noStrike">
              <a:solidFill>
                <a:schemeClr val="tx1"/>
              </a:solidFill>
              <a:effectLst/>
              <a:latin typeface="Arial" pitchFamily="34" charset="0"/>
              <a:ea typeface="+mn-ea"/>
              <a:cs typeface="Arial" pitchFamily="34" charset="0"/>
            </a:rPr>
            <a:t>worksheet</a:t>
          </a:r>
          <a:r>
            <a:rPr lang="en-US" sz="1050">
              <a:latin typeface="Arial" pitchFamily="34" charset="0"/>
              <a:cs typeface="Arial" pitchFamily="34" charset="0"/>
            </a:rPr>
            <a:t>.</a:t>
          </a:r>
        </a:p>
        <a:p>
          <a:pPr>
            <a:lnSpc>
              <a:spcPct val="150000"/>
            </a:lnSpc>
          </a:pPr>
          <a:r>
            <a:rPr lang="en-US" sz="1050" b="0" i="0" u="none" strike="noStrike">
              <a:solidFill>
                <a:schemeClr val="tx1"/>
              </a:solidFill>
              <a:effectLst/>
              <a:latin typeface="Arial" pitchFamily="34" charset="0"/>
              <a:ea typeface="+mn-ea"/>
              <a:cs typeface="Arial" pitchFamily="34" charset="0"/>
            </a:rPr>
            <a:t>Step 8.</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Review and modify permitting/lease costs (columns C and D) as needed.</a:t>
          </a:r>
          <a:r>
            <a:rPr lang="en-US" sz="105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9.</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Examine the sensitivity table at the bottom of the Oyster Crop Budget</a:t>
          </a:r>
          <a:r>
            <a:rPr lang="en-US" sz="1050" b="0">
              <a:latin typeface="Arial" pitchFamily="34" charset="0"/>
              <a:cs typeface="Arial" pitchFamily="34" charset="0"/>
            </a:rPr>
            <a:t> </a:t>
          </a:r>
          <a:r>
            <a:rPr lang="en-US" sz="1050">
              <a:latin typeface="Arial" pitchFamily="34" charset="0"/>
              <a:cs typeface="Arial" pitchFamily="34" charset="0"/>
            </a:rPr>
            <a:t>worksheet</a:t>
          </a:r>
          <a:r>
            <a:rPr lang="en-US" sz="1050" baseline="0">
              <a:latin typeface="Arial" pitchFamily="34" charset="0"/>
              <a:cs typeface="Arial" pitchFamily="34" charset="0"/>
            </a:rPr>
            <a:t> </a:t>
          </a:r>
          <a:r>
            <a:rPr lang="en-US" sz="1050" i="0" baseline="0">
              <a:latin typeface="Arial" pitchFamily="34" charset="0"/>
              <a:cs typeface="Arial" pitchFamily="34" charset="0"/>
            </a:rPr>
            <a:t>(</a:t>
          </a:r>
          <a:r>
            <a:rPr lang="en-US" sz="1050" b="0" i="0" u="none" strike="noStrike">
              <a:solidFill>
                <a:schemeClr val="tx1"/>
              </a:solidFill>
              <a:effectLst/>
              <a:latin typeface="Arial" pitchFamily="34" charset="0"/>
              <a:ea typeface="+mn-ea"/>
              <a:cs typeface="Arial" pitchFamily="34" charset="0"/>
            </a:rPr>
            <a:t>shows Year 2 returns given different mortality rates and sales prices).</a:t>
          </a:r>
          <a:r>
            <a:rPr lang="en-US" sz="1050" i="0">
              <a:latin typeface="Arial" pitchFamily="34" charset="0"/>
              <a:cs typeface="Arial" pitchFamily="34" charset="0"/>
            </a:rPr>
            <a:t> </a:t>
          </a:r>
        </a:p>
        <a:p>
          <a:pPr>
            <a:lnSpc>
              <a:spcPct val="150000"/>
            </a:lnSpc>
          </a:pPr>
          <a:r>
            <a:rPr lang="en-US" sz="1050" b="0" i="0" u="none" strike="noStrike">
              <a:solidFill>
                <a:schemeClr val="tx1"/>
              </a:solidFill>
              <a:effectLst/>
              <a:latin typeface="Arial" pitchFamily="34" charset="0"/>
              <a:ea typeface="+mn-ea"/>
              <a:cs typeface="Arial" pitchFamily="34" charset="0"/>
            </a:rPr>
            <a:t>Step 10.</a:t>
          </a:r>
          <a:r>
            <a:rPr lang="en-US" sz="1050">
              <a:latin typeface="Arial" pitchFamily="34" charset="0"/>
              <a:cs typeface="Arial" pitchFamily="34" charset="0"/>
            </a:rPr>
            <a:t> </a:t>
          </a:r>
          <a:r>
            <a:rPr lang="en-US" sz="1050" b="0" i="0" u="none" strike="noStrike">
              <a:solidFill>
                <a:schemeClr val="tx1"/>
              </a:solidFill>
              <a:effectLst/>
              <a:latin typeface="Arial" pitchFamily="34" charset="0"/>
              <a:ea typeface="+mn-ea"/>
              <a:cs typeface="Arial" pitchFamily="34" charset="0"/>
            </a:rPr>
            <a:t>Open and examine the </a:t>
          </a:r>
          <a:r>
            <a:rPr lang="en-US" sz="1050" b="1" i="0" u="none" strike="noStrike">
              <a:solidFill>
                <a:schemeClr val="tx1"/>
              </a:solidFill>
              <a:effectLst/>
              <a:latin typeface="Arial" pitchFamily="34" charset="0"/>
              <a:ea typeface="+mn-ea"/>
              <a:cs typeface="Arial" pitchFamily="34" charset="0"/>
            </a:rPr>
            <a:t>Budget Evaluation </a:t>
          </a:r>
          <a:r>
            <a:rPr lang="en-US" sz="1050" b="0" i="0" u="none" strike="noStrike">
              <a:solidFill>
                <a:schemeClr val="tx1"/>
              </a:solidFill>
              <a:effectLst/>
              <a:latin typeface="Arial" pitchFamily="34" charset="0"/>
              <a:ea typeface="+mn-ea"/>
              <a:cs typeface="Arial" pitchFamily="34" charset="0"/>
            </a:rPr>
            <a:t>worksheet</a:t>
          </a:r>
          <a:r>
            <a:rPr lang="en-US" sz="1050">
              <a:latin typeface="Arial" pitchFamily="34" charset="0"/>
              <a:cs typeface="Arial" pitchFamily="34" charset="0"/>
            </a:rPr>
            <a:t> </a:t>
          </a:r>
          <a:r>
            <a:rPr lang="en-US" sz="1050" b="0" i="1" u="none" strike="noStrike">
              <a:solidFill>
                <a:schemeClr val="tx1"/>
              </a:solidFill>
              <a:effectLst/>
              <a:latin typeface="Arial" pitchFamily="34" charset="0"/>
              <a:ea typeface="+mn-ea"/>
              <a:cs typeface="Arial" pitchFamily="34" charset="0"/>
            </a:rPr>
            <a:t>(</a:t>
          </a:r>
          <a:r>
            <a:rPr lang="en-US" sz="1050" b="0" i="0" u="none" strike="noStrike">
              <a:solidFill>
                <a:schemeClr val="tx1"/>
              </a:solidFill>
              <a:effectLst/>
              <a:latin typeface="Arial" pitchFamily="34" charset="0"/>
              <a:ea typeface="+mn-ea"/>
              <a:cs typeface="Arial" pitchFamily="34" charset="0"/>
            </a:rPr>
            <a:t>shows percentage of total costs per line item</a:t>
          </a:r>
          <a:r>
            <a:rPr lang="en-US" sz="1050" b="0" i="0" u="none" strike="noStrike" baseline="0">
              <a:solidFill>
                <a:schemeClr val="tx1"/>
              </a:solidFill>
              <a:effectLst/>
              <a:latin typeface="Arial" pitchFamily="34" charset="0"/>
              <a:ea typeface="+mn-ea"/>
              <a:cs typeface="Arial" pitchFamily="34" charset="0"/>
            </a:rPr>
            <a:t> and</a:t>
          </a:r>
          <a:r>
            <a:rPr lang="en-US" sz="1050" b="0" i="0" u="none" strike="noStrike">
              <a:solidFill>
                <a:schemeClr val="tx1"/>
              </a:solidFill>
              <a:effectLst/>
              <a:latin typeface="Arial" pitchFamily="34" charset="0"/>
              <a:ea typeface="+mn-ea"/>
              <a:cs typeface="Arial" pitchFamily="34" charset="0"/>
            </a:rPr>
            <a:t> cost of production per oyster).</a:t>
          </a:r>
          <a:endParaRPr lang="en-US" sz="1050" i="0">
            <a:latin typeface="Arial" pitchFamily="34" charset="0"/>
            <a:cs typeface="Arial" pitchFamily="34" charset="0"/>
          </a:endParaRPr>
        </a:p>
      </xdr:txBody>
    </xdr:sp>
    <xdr:clientData/>
  </xdr:oneCellAnchor>
  <xdr:oneCellAnchor>
    <xdr:from>
      <xdr:col>9</xdr:col>
      <xdr:colOff>609600</xdr:colOff>
      <xdr:row>24</xdr:row>
      <xdr:rowOff>158750</xdr:rowOff>
    </xdr:from>
    <xdr:ext cx="6451600" cy="2208297"/>
    <xdr:sp macro="" textlink="">
      <xdr:nvSpPr>
        <xdr:cNvPr id="10" name="TextBox 9"/>
        <xdr:cNvSpPr txBox="1"/>
      </xdr:nvSpPr>
      <xdr:spPr>
        <a:xfrm>
          <a:off x="8356600" y="4866217"/>
          <a:ext cx="6451600" cy="2208297"/>
        </a:xfrm>
        <a:prstGeom prst="rect">
          <a:avLst/>
        </a:prstGeom>
        <a:solidFill>
          <a:schemeClr val="bg1"/>
        </a:solidFill>
        <a:ln w="12700">
          <a:solidFill>
            <a:schemeClr val="accent1"/>
          </a:solidFill>
          <a:prstDash val="solid"/>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en-US" sz="1100" b="1" baseline="0">
              <a:latin typeface="Arial" pitchFamily="34" charset="0"/>
              <a:cs typeface="Arial" pitchFamily="34" charset="0"/>
            </a:rPr>
            <a:t>For questions, contact:</a:t>
          </a:r>
        </a:p>
        <a:p>
          <a:pPr algn="l"/>
          <a:endParaRPr lang="en-US" sz="1100">
            <a:latin typeface="Arial" pitchFamily="34" charset="0"/>
            <a:cs typeface="Arial" pitchFamily="34" charset="0"/>
          </a:endParaRPr>
        </a:p>
        <a:p>
          <a:pPr algn="l"/>
          <a:r>
            <a:rPr lang="en-US" sz="1050">
              <a:latin typeface="Arial" pitchFamily="34" charset="0"/>
              <a:cs typeface="Arial" pitchFamily="34" charset="0"/>
            </a:rPr>
            <a:t>• Karen Hudson,</a:t>
          </a:r>
          <a:r>
            <a:rPr lang="en-US" sz="1050" baseline="0">
              <a:latin typeface="Arial" pitchFamily="34" charset="0"/>
              <a:cs typeface="Arial" pitchFamily="34" charset="0"/>
            </a:rPr>
            <a:t> Commercial Shellfish Aquaculture Extension Specialist, Virginia Institute of Marine Science; khudson@vims.edu; 804-684-7742.</a:t>
          </a:r>
        </a:p>
        <a:p>
          <a:pPr algn="l"/>
          <a:endParaRPr lang="en-US" sz="1050" baseline="0">
            <a:latin typeface="Arial" pitchFamily="34" charset="0"/>
            <a:cs typeface="Arial" pitchFamily="34" charset="0"/>
          </a:endParaRPr>
        </a:p>
        <a:p>
          <a:pPr algn="l"/>
          <a:r>
            <a:rPr lang="en-US" sz="1050" baseline="0">
              <a:latin typeface="Arial" pitchFamily="34" charset="0"/>
              <a:cs typeface="Arial" pitchFamily="34" charset="0"/>
            </a:rPr>
            <a:t>• Dan Kauffman, Extension Specialist Seafood, Virginia Seafood Agricultural Research and Extension Center, Virginia Tech; dkauffma@vt.edu; 757-727-4861.</a:t>
          </a:r>
        </a:p>
        <a:p>
          <a:pPr algn="l"/>
          <a:endParaRPr lang="en-US" sz="1050" baseline="0">
            <a:latin typeface="Arial" pitchFamily="34" charset="0"/>
            <a:cs typeface="Arial" pitchFamily="34" charset="0"/>
          </a:endParaRPr>
        </a:p>
        <a:p>
          <a:pPr algn="l"/>
          <a:r>
            <a:rPr lang="en-US" sz="1050" baseline="0">
              <a:latin typeface="Arial" pitchFamily="34" charset="0"/>
              <a:cs typeface="Arial" pitchFamily="34" charset="0"/>
            </a:rPr>
            <a:t>• Tom Murray, Associate Director of Advisory Services, Virginia Institute of Marine Science; tjm@vims.edu; 804-684-7190.</a:t>
          </a:r>
        </a:p>
        <a:p>
          <a:pPr algn="l"/>
          <a:endParaRPr lang="en-US" sz="1050" baseline="0">
            <a:latin typeface="Arial" pitchFamily="34" charset="0"/>
            <a:cs typeface="Arial" pitchFamily="34" charset="0"/>
          </a:endParaRPr>
        </a:p>
        <a:p>
          <a:pPr algn="l"/>
          <a:r>
            <a:rPr lang="en-US" sz="1050" baseline="0">
              <a:latin typeface="Arial" pitchFamily="34" charset="0"/>
              <a:cs typeface="Arial" pitchFamily="34" charset="0"/>
            </a:rPr>
            <a:t>Spreadsheet was developed by Karen Hudson, Dan Kauffman, Alexander Solomon (independent consultant), and Tom Murray.</a:t>
          </a:r>
          <a:endParaRPr lang="en-US" sz="1050">
            <a:latin typeface="Arial" pitchFamily="34" charset="0"/>
            <a:cs typeface="Arial"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1600200</xdr:colOff>
      <xdr:row>0</xdr:row>
      <xdr:rowOff>304800</xdr:rowOff>
    </xdr:from>
    <xdr:to>
      <xdr:col>3</xdr:col>
      <xdr:colOff>304800</xdr:colOff>
      <xdr:row>0</xdr:row>
      <xdr:rowOff>660400</xdr:rowOff>
    </xdr:to>
    <xdr:pic>
      <xdr:nvPicPr>
        <xdr:cNvPr id="3453" name="Picture 5"/>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5295900" y="304800"/>
          <a:ext cx="2387600" cy="3556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558801</xdr:colOff>
      <xdr:row>8</xdr:row>
      <xdr:rowOff>0</xdr:rowOff>
    </xdr:from>
    <xdr:to>
      <xdr:col>2</xdr:col>
      <xdr:colOff>196949</xdr:colOff>
      <xdr:row>13</xdr:row>
      <xdr:rowOff>136489</xdr:rowOff>
    </xdr:to>
    <xdr:sp macro="" textlink="">
      <xdr:nvSpPr>
        <xdr:cNvPr id="7" name="Rectangle 6"/>
        <xdr:cNvSpPr/>
      </xdr:nvSpPr>
      <xdr:spPr>
        <a:xfrm>
          <a:off x="482601" y="3419475"/>
          <a:ext cx="4876800" cy="12096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editAs="oneCell">
    <xdr:from>
      <xdr:col>0</xdr:col>
      <xdr:colOff>609600</xdr:colOff>
      <xdr:row>0</xdr:row>
      <xdr:rowOff>177800</xdr:rowOff>
    </xdr:from>
    <xdr:to>
      <xdr:col>0</xdr:col>
      <xdr:colOff>3187700</xdr:colOff>
      <xdr:row>0</xdr:row>
      <xdr:rowOff>800100</xdr:rowOff>
    </xdr:to>
    <xdr:pic>
      <xdr:nvPicPr>
        <xdr:cNvPr id="3455" name="Picture 2"/>
        <xdr:cNvPicPr>
          <a:picLocks noChangeAspect="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609600" y="177800"/>
          <a:ext cx="2578100" cy="6223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5</xdr:col>
      <xdr:colOff>330200</xdr:colOff>
      <xdr:row>0</xdr:row>
      <xdr:rowOff>12700</xdr:rowOff>
    </xdr:from>
    <xdr:to>
      <xdr:col>5</xdr:col>
      <xdr:colOff>1600200</xdr:colOff>
      <xdr:row>0</xdr:row>
      <xdr:rowOff>927100</xdr:rowOff>
    </xdr:to>
    <xdr:pic>
      <xdr:nvPicPr>
        <xdr:cNvPr id="3456" name="Picture 1"/>
        <xdr:cNvPicPr>
          <a:picLocks noChangeAspect="1"/>
        </xdr:cNvPicPr>
      </xdr:nvPicPr>
      <xdr:blipFill>
        <a:blip xmlns:r="http://schemas.openxmlformats.org/officeDocument/2006/relationships" r:embed="rId3">
          <a:extLst>
            <a:ext uri="{28A0092B-C50C-407E-A947-70E740481C1C}">
              <a14:useLocalDpi xmlns:a14="http://schemas.microsoft.com/office/drawing/2010/main" xmlns="" val="0"/>
            </a:ext>
          </a:extLst>
        </a:blip>
        <a:srcRect/>
        <a:stretch>
          <a:fillRect/>
        </a:stretch>
      </xdr:blipFill>
      <xdr:spPr bwMode="auto">
        <a:xfrm>
          <a:off x="11264900" y="12700"/>
          <a:ext cx="1270000" cy="9144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2:P53"/>
  <sheetViews>
    <sheetView tabSelected="1" view="pageLayout" zoomScale="125" zoomScaleSheetLayoutView="100" zoomScalePageLayoutView="125" workbookViewId="0">
      <selection activeCell="A39" sqref="A39:F40"/>
    </sheetView>
  </sheetViews>
  <sheetFormatPr defaultColWidth="11.42578125" defaultRowHeight="15"/>
  <cols>
    <col min="1" max="1" width="9.140625" style="124" customWidth="1"/>
    <col min="2" max="11" width="11.42578125" style="124" customWidth="1"/>
    <col min="12" max="12" width="16.42578125" style="124" customWidth="1"/>
    <col min="13" max="16384" width="11.42578125" style="124"/>
  </cols>
  <sheetData>
    <row r="2" spans="1:12" ht="20.25">
      <c r="A2" s="383" t="s">
        <v>57</v>
      </c>
      <c r="B2" s="384"/>
      <c r="C2" s="384"/>
      <c r="D2" s="384"/>
      <c r="E2" s="384"/>
      <c r="F2" s="384"/>
      <c r="G2" s="384"/>
      <c r="H2" s="384"/>
      <c r="I2" s="384"/>
    </row>
    <row r="3" spans="1:12" ht="18">
      <c r="A3" s="385" t="s">
        <v>58</v>
      </c>
      <c r="B3" s="386"/>
      <c r="C3" s="386"/>
      <c r="D3" s="386"/>
      <c r="E3" s="386"/>
      <c r="F3" s="386"/>
      <c r="G3" s="386"/>
      <c r="H3" s="386"/>
      <c r="I3" s="386"/>
    </row>
    <row r="4" spans="1:12">
      <c r="A4" s="134"/>
      <c r="B4" s="131"/>
      <c r="C4" s="131"/>
      <c r="D4" s="131"/>
      <c r="E4" s="131"/>
      <c r="F4" s="131"/>
      <c r="G4" s="131"/>
      <c r="H4" s="131"/>
      <c r="I4" s="131"/>
    </row>
    <row r="5" spans="1:12" ht="12" customHeight="1">
      <c r="A5" s="132"/>
      <c r="J5" s="131"/>
      <c r="K5" s="131"/>
      <c r="L5" s="131"/>
    </row>
    <row r="23" spans="1:8">
      <c r="A23" s="145"/>
      <c r="B23" s="143"/>
      <c r="C23" s="143"/>
      <c r="D23" s="143"/>
      <c r="E23" s="143"/>
      <c r="F23" s="143"/>
      <c r="G23" s="143"/>
      <c r="H23" s="143"/>
    </row>
    <row r="24" spans="1:8">
      <c r="A24" s="143"/>
      <c r="B24" s="143"/>
      <c r="C24" s="143"/>
      <c r="D24" s="143"/>
      <c r="E24" s="143"/>
      <c r="F24" s="143"/>
      <c r="G24" s="143"/>
      <c r="H24" s="143"/>
    </row>
    <row r="25" spans="1:8">
      <c r="A25" s="143"/>
      <c r="B25" s="143"/>
      <c r="C25" s="143"/>
      <c r="D25" s="143"/>
      <c r="E25" s="143"/>
      <c r="F25" s="143"/>
      <c r="G25" s="143"/>
      <c r="H25" s="143"/>
    </row>
    <row r="26" spans="1:8">
      <c r="A26" s="143"/>
      <c r="B26" s="143"/>
      <c r="C26" s="143"/>
      <c r="D26" s="143"/>
      <c r="E26" s="143"/>
      <c r="F26" s="143"/>
      <c r="G26" s="143"/>
      <c r="H26" s="143"/>
    </row>
    <row r="27" spans="1:8">
      <c r="A27" s="143"/>
      <c r="B27" s="143"/>
      <c r="C27" s="143"/>
      <c r="D27" s="143"/>
      <c r="E27" s="143"/>
      <c r="F27" s="143"/>
      <c r="G27" s="143"/>
      <c r="H27" s="143"/>
    </row>
    <row r="28" spans="1:8">
      <c r="A28" s="143"/>
      <c r="B28" s="143"/>
      <c r="C28" s="143"/>
      <c r="D28" s="143"/>
      <c r="E28" s="143"/>
      <c r="F28" s="143"/>
      <c r="G28" s="143"/>
      <c r="H28" s="143"/>
    </row>
    <row r="29" spans="1:8">
      <c r="A29" s="143"/>
      <c r="B29" s="143"/>
      <c r="C29" s="143"/>
      <c r="D29" s="143"/>
      <c r="E29" s="143"/>
      <c r="F29" s="143"/>
      <c r="G29" s="143"/>
      <c r="H29" s="143"/>
    </row>
    <row r="30" spans="1:8">
      <c r="A30" s="143"/>
      <c r="B30" s="144"/>
      <c r="C30" s="143"/>
      <c r="D30" s="143"/>
      <c r="E30" s="143"/>
      <c r="F30" s="143"/>
      <c r="G30" s="143"/>
      <c r="H30" s="143"/>
    </row>
    <row r="31" spans="1:8">
      <c r="A31" s="143"/>
      <c r="B31" s="143"/>
      <c r="C31" s="143"/>
      <c r="D31" s="143"/>
      <c r="E31" s="143"/>
      <c r="F31" s="143"/>
      <c r="G31" s="143"/>
      <c r="H31" s="143"/>
    </row>
    <row r="32" spans="1:8">
      <c r="A32" s="143"/>
      <c r="B32" s="143"/>
      <c r="C32" s="143"/>
      <c r="D32" s="143"/>
      <c r="E32" s="143"/>
      <c r="F32" s="143"/>
      <c r="G32" s="143"/>
      <c r="H32" s="143"/>
    </row>
    <row r="33" spans="1:16">
      <c r="A33" s="143"/>
      <c r="B33" s="143"/>
      <c r="C33" s="143"/>
      <c r="D33" s="143"/>
      <c r="E33" s="143"/>
      <c r="F33" s="143"/>
      <c r="G33" s="143"/>
      <c r="H33" s="143"/>
    </row>
    <row r="34" spans="1:16">
      <c r="A34" s="143"/>
      <c r="B34" s="144"/>
      <c r="C34" s="143"/>
      <c r="D34" s="143"/>
      <c r="E34" s="143"/>
      <c r="F34" s="143"/>
      <c r="G34" s="143"/>
      <c r="H34" s="143"/>
    </row>
    <row r="35" spans="1:16">
      <c r="A35" s="143"/>
      <c r="B35" s="143"/>
      <c r="C35" s="143"/>
      <c r="D35" s="143"/>
      <c r="E35" s="143"/>
      <c r="F35" s="143"/>
      <c r="G35" s="143"/>
      <c r="H35" s="143"/>
      <c r="O35" s="161"/>
      <c r="P35" s="161"/>
    </row>
    <row r="36" spans="1:16">
      <c r="A36" s="143"/>
      <c r="B36" s="144"/>
      <c r="C36" s="143"/>
      <c r="D36" s="146"/>
      <c r="E36" s="147"/>
      <c r="F36" s="147"/>
      <c r="G36" s="147"/>
      <c r="H36" s="147"/>
      <c r="I36" s="131"/>
      <c r="O36" s="161"/>
      <c r="P36" s="161"/>
    </row>
    <row r="37" spans="1:16" ht="15.75">
      <c r="A37" s="143"/>
      <c r="B37" s="144"/>
      <c r="C37" s="143"/>
      <c r="D37" s="146"/>
      <c r="E37" s="147"/>
      <c r="F37" s="147"/>
      <c r="G37" s="147"/>
      <c r="H37" s="147"/>
      <c r="I37" s="131"/>
      <c r="J37" s="131"/>
      <c r="L37" s="131"/>
      <c r="M37" s="131"/>
      <c r="O37" s="164"/>
      <c r="P37" s="164"/>
    </row>
    <row r="38" spans="1:16">
      <c r="A38" s="143"/>
      <c r="B38" s="143"/>
      <c r="C38" s="143"/>
      <c r="D38" s="146"/>
      <c r="E38" s="147"/>
      <c r="F38" s="147"/>
      <c r="G38" s="147"/>
      <c r="H38" s="147"/>
      <c r="I38" s="131"/>
      <c r="J38" s="131"/>
      <c r="L38" s="131"/>
      <c r="M38" s="131"/>
    </row>
    <row r="39" spans="1:16" ht="15" customHeight="1">
      <c r="A39" s="389" t="s">
        <v>181</v>
      </c>
      <c r="B39" s="389"/>
      <c r="C39" s="389"/>
      <c r="D39" s="389"/>
      <c r="E39" s="389"/>
      <c r="F39" s="389"/>
      <c r="G39" s="387" t="s">
        <v>47</v>
      </c>
      <c r="H39" s="388"/>
      <c r="I39" s="131"/>
      <c r="J39" s="131"/>
      <c r="K39" s="131"/>
      <c r="L39" s="131"/>
      <c r="M39" s="131"/>
    </row>
    <row r="40" spans="1:16">
      <c r="A40" s="389"/>
      <c r="B40" s="389"/>
      <c r="C40" s="389"/>
      <c r="D40" s="389"/>
      <c r="E40" s="389"/>
      <c r="F40" s="389"/>
      <c r="G40" s="388"/>
      <c r="H40" s="388"/>
      <c r="I40" s="131"/>
      <c r="J40" s="131"/>
      <c r="K40" s="131"/>
      <c r="L40" s="131"/>
      <c r="M40" s="131"/>
    </row>
    <row r="41" spans="1:16">
      <c r="G41" s="131"/>
      <c r="H41" s="131"/>
      <c r="I41" s="131"/>
      <c r="J41" s="131"/>
      <c r="K41" s="131"/>
      <c r="L41" s="131"/>
      <c r="M41" s="131"/>
    </row>
    <row r="42" spans="1:16">
      <c r="D42" s="130"/>
      <c r="E42" s="131"/>
      <c r="F42" s="131"/>
      <c r="G42" s="131"/>
      <c r="H42" s="131"/>
      <c r="I42" s="131"/>
      <c r="J42" s="131"/>
      <c r="K42" s="131"/>
      <c r="L42" s="131"/>
      <c r="M42" s="131"/>
    </row>
    <row r="43" spans="1:16" ht="15.75">
      <c r="D43" s="130"/>
      <c r="E43" s="131"/>
      <c r="F43" s="126"/>
      <c r="G43" s="126"/>
      <c r="H43" s="126"/>
      <c r="I43" s="126"/>
      <c r="J43" s="141"/>
      <c r="L43" s="131"/>
      <c r="M43" s="131"/>
      <c r="O43" s="161"/>
      <c r="P43" s="161"/>
    </row>
    <row r="44" spans="1:16" ht="15.75">
      <c r="D44" s="130"/>
      <c r="E44" s="131"/>
      <c r="F44" s="126"/>
      <c r="G44" s="126"/>
      <c r="H44" s="126"/>
      <c r="I44" s="126"/>
      <c r="K44" s="148"/>
      <c r="L44" s="126"/>
      <c r="M44" s="126"/>
      <c r="O44" s="161"/>
      <c r="P44" s="161"/>
    </row>
    <row r="45" spans="1:16" ht="15.75">
      <c r="K45" s="148"/>
      <c r="L45" s="126"/>
      <c r="M45" s="126"/>
    </row>
    <row r="47" spans="1:16">
      <c r="G47" s="151"/>
      <c r="H47" s="152"/>
    </row>
    <row r="48" spans="1:16">
      <c r="G48" s="152"/>
      <c r="H48" s="152"/>
    </row>
    <row r="51" spans="3:16">
      <c r="C51" s="137"/>
      <c r="D51" s="137"/>
      <c r="E51" s="137"/>
      <c r="F51" s="137"/>
      <c r="G51" s="137"/>
      <c r="H51" s="137"/>
      <c r="I51" s="137"/>
    </row>
    <row r="52" spans="3:16" ht="15.75">
      <c r="J52" s="137"/>
      <c r="K52" s="137"/>
      <c r="L52" s="140"/>
      <c r="M52" s="140"/>
      <c r="N52" s="133"/>
      <c r="O52" s="149"/>
      <c r="P52" s="150"/>
    </row>
    <row r="53" spans="3:16">
      <c r="N53" s="142"/>
      <c r="O53" s="150"/>
      <c r="P53" s="150"/>
    </row>
  </sheetData>
  <mergeCells count="4">
    <mergeCell ref="A2:I2"/>
    <mergeCell ref="A3:I3"/>
    <mergeCell ref="G39:H40"/>
    <mergeCell ref="A39:F40"/>
  </mergeCells>
  <phoneticPr fontId="16" type="noConversion"/>
  <hyperlinks>
    <hyperlink ref="G39:H40" location="'Oyster Crop Budget'!A1" display="START"/>
  </hyperlinks>
  <pageMargins left="0.7" right="0.7" top="0.75" bottom="0.75" header="0.3" footer="0.3"/>
  <pageSetup scale="81" orientation="portrait" r:id="rId1"/>
  <headerFooter>
    <oddHeader>&amp;C&amp;"Arial,Bold"&amp;14&amp;K000000Small-Scale Cultchless Oyster Crop Budgets: Menu</oddHeader>
  </headerFooter>
  <colBreaks count="1" manualBreakCount="1">
    <brk id="9" max="45" man="1"/>
  </colBreaks>
  <drawing r:id="rId2"/>
  <extLst>
    <ext xmlns:mx="http://schemas.microsoft.com/office/mac/excel/2008/main" uri="{64002731-A6B0-56B0-2670-7721B7C09600}">
      <mx:PLV Mode="1" OnePage="0" WScale="0"/>
    </ext>
  </extLst>
</worksheet>
</file>

<file path=xl/worksheets/sheet2.xml><?xml version="1.0" encoding="utf-8"?>
<worksheet xmlns="http://schemas.openxmlformats.org/spreadsheetml/2006/main" xmlns:r="http://schemas.openxmlformats.org/officeDocument/2006/relationships">
  <dimension ref="A1:O188"/>
  <sheetViews>
    <sheetView view="pageLayout" workbookViewId="0">
      <selection activeCell="E106" sqref="E106"/>
    </sheetView>
  </sheetViews>
  <sheetFormatPr defaultColWidth="8.85546875" defaultRowHeight="12.75"/>
  <cols>
    <col min="1" max="1" width="48.42578125" style="2" customWidth="1"/>
    <col min="2" max="2" width="30.85546875" style="282" bestFit="1" customWidth="1"/>
    <col min="3" max="3" width="17.42578125" style="282" bestFit="1" customWidth="1"/>
    <col min="4" max="4" width="23.42578125" style="282" customWidth="1"/>
    <col min="5" max="5" width="24.7109375" style="282" customWidth="1"/>
    <col min="6" max="6" width="25" style="282" customWidth="1"/>
    <col min="7" max="8" width="24.85546875" style="2" customWidth="1"/>
    <col min="9" max="9" width="33.42578125" style="2" bestFit="1" customWidth="1"/>
    <col min="10" max="11" width="24.85546875" style="2" customWidth="1"/>
    <col min="12" max="13" width="24.28515625" style="2" customWidth="1"/>
    <col min="14" max="14" width="12.7109375" style="2" bestFit="1" customWidth="1"/>
    <col min="15" max="16384" width="8.85546875" style="2"/>
  </cols>
  <sheetData>
    <row r="1" spans="1:7" ht="75.75" customHeight="1"/>
    <row r="2" spans="1:7" s="153" customFormat="1" ht="20.25">
      <c r="A2" s="393" t="s">
        <v>72</v>
      </c>
      <c r="B2" s="394"/>
      <c r="C2" s="394"/>
      <c r="D2" s="394"/>
      <c r="E2" s="394"/>
      <c r="F2" s="394"/>
    </row>
    <row r="3" spans="1:7" s="153" customFormat="1" ht="20.25">
      <c r="A3" s="393" t="s">
        <v>71</v>
      </c>
      <c r="B3" s="395"/>
      <c r="C3" s="395"/>
      <c r="D3" s="395"/>
      <c r="E3" s="395"/>
      <c r="F3" s="395"/>
    </row>
    <row r="4" spans="1:7" s="153" customFormat="1" ht="15" customHeight="1">
      <c r="A4" s="160"/>
      <c r="B4" s="295"/>
      <c r="C4" s="300"/>
      <c r="D4" s="400"/>
      <c r="E4" s="401"/>
      <c r="F4" s="401"/>
    </row>
    <row r="5" spans="1:7" s="153" customFormat="1" ht="78" customHeight="1">
      <c r="A5" s="398" t="s">
        <v>172</v>
      </c>
      <c r="B5" s="399"/>
      <c r="C5" s="399"/>
      <c r="D5" s="399"/>
      <c r="E5" s="399"/>
      <c r="F5" s="399"/>
    </row>
    <row r="6" spans="1:7" s="155" customFormat="1" ht="15" customHeight="1">
      <c r="A6" s="154"/>
      <c r="B6" s="296"/>
      <c r="C6" s="283"/>
      <c r="D6" s="283"/>
      <c r="E6" s="283"/>
      <c r="F6" s="294"/>
    </row>
    <row r="7" spans="1:7" s="153" customFormat="1" ht="20.25">
      <c r="A7" s="396" t="s">
        <v>59</v>
      </c>
      <c r="B7" s="397"/>
      <c r="C7" s="397"/>
      <c r="D7" s="397"/>
      <c r="E7" s="397"/>
      <c r="F7" s="397"/>
    </row>
    <row r="8" spans="1:7">
      <c r="C8" s="13"/>
      <c r="D8" s="13"/>
      <c r="E8" s="60"/>
      <c r="F8" s="60"/>
    </row>
    <row r="9" spans="1:7" ht="18">
      <c r="A9" s="353" t="s">
        <v>16</v>
      </c>
      <c r="B9" s="352" t="s">
        <v>35</v>
      </c>
      <c r="C9" s="13"/>
      <c r="D9" s="409" t="s">
        <v>197</v>
      </c>
      <c r="E9" s="410"/>
      <c r="F9" s="368">
        <v>200000</v>
      </c>
    </row>
    <row r="10" spans="1:7" ht="15.75">
      <c r="A10" s="123" t="s">
        <v>65</v>
      </c>
      <c r="B10" s="363">
        <v>0.25</v>
      </c>
      <c r="D10" s="366"/>
      <c r="E10" s="367" t="s">
        <v>60</v>
      </c>
      <c r="F10" s="369">
        <f>ROUNDUP(F9/(1-B11),-3)</f>
        <v>400000</v>
      </c>
      <c r="G10" s="98"/>
    </row>
    <row r="11" spans="1:7" ht="15.75">
      <c r="A11" s="123" t="s">
        <v>66</v>
      </c>
      <c r="B11" s="364">
        <v>0.5</v>
      </c>
      <c r="C11" s="13"/>
      <c r="D11" s="366"/>
      <c r="E11" s="222" t="s">
        <v>61</v>
      </c>
      <c r="F11" s="370">
        <f>ROUNDUP(F9*B12,-2)</f>
        <v>40000</v>
      </c>
    </row>
    <row r="12" spans="1:7" ht="15.75">
      <c r="A12" s="123" t="s">
        <v>63</v>
      </c>
      <c r="B12" s="365">
        <v>0.2</v>
      </c>
      <c r="C12" s="13"/>
      <c r="D12" s="407" t="s">
        <v>62</v>
      </c>
      <c r="E12" s="408"/>
      <c r="F12" s="370">
        <f>ROUNDUP((F9*B12)+(F9*B13),-2)</f>
        <v>200000</v>
      </c>
    </row>
    <row r="13" spans="1:7" ht="15.75">
      <c r="A13" s="123" t="s">
        <v>64</v>
      </c>
      <c r="B13" s="364">
        <v>0.8</v>
      </c>
      <c r="C13" s="13"/>
      <c r="D13" s="13"/>
      <c r="E13" s="290"/>
      <c r="F13" s="290"/>
    </row>
    <row r="14" spans="1:7" ht="18.75" thickBot="1">
      <c r="A14" s="125"/>
      <c r="B14" s="297"/>
      <c r="C14" s="5"/>
      <c r="D14" s="5"/>
      <c r="E14" s="391" t="s">
        <v>70</v>
      </c>
      <c r="F14" s="392"/>
      <c r="G14" s="54"/>
    </row>
    <row r="15" spans="1:7" s="33" customFormat="1" ht="33" thickTop="1" thickBot="1">
      <c r="A15" s="32" t="s">
        <v>23</v>
      </c>
      <c r="B15" s="32" t="s">
        <v>13</v>
      </c>
      <c r="C15" s="118" t="s">
        <v>67</v>
      </c>
      <c r="D15" s="32" t="s">
        <v>173</v>
      </c>
      <c r="E15" s="32" t="s">
        <v>68</v>
      </c>
      <c r="F15" s="32" t="s">
        <v>69</v>
      </c>
    </row>
    <row r="16" spans="1:7" s="14" customFormat="1" ht="16.5" thickTop="1">
      <c r="A16" s="15" t="s">
        <v>14</v>
      </c>
      <c r="B16" s="16"/>
      <c r="C16" s="16"/>
      <c r="D16" s="16"/>
      <c r="E16" s="16"/>
      <c r="F16" s="16"/>
    </row>
    <row r="17" spans="1:15" s="14" customFormat="1" ht="15.75">
      <c r="A17" s="55" t="s">
        <v>73</v>
      </c>
      <c r="B17" s="66" t="s">
        <v>113</v>
      </c>
      <c r="C17" s="66">
        <f>F9</f>
        <v>200000</v>
      </c>
      <c r="D17" s="301">
        <f>B10</f>
        <v>0.25</v>
      </c>
      <c r="E17" s="302">
        <f>F11*D17</f>
        <v>10000</v>
      </c>
      <c r="F17" s="302">
        <f>F12*D17</f>
        <v>50000</v>
      </c>
      <c r="G17" s="23"/>
      <c r="H17" s="23"/>
    </row>
    <row r="18" spans="1:15" s="14" customFormat="1" ht="15">
      <c r="A18" s="18"/>
      <c r="B18" s="56"/>
      <c r="C18" s="56"/>
      <c r="D18" s="171"/>
      <c r="E18" s="303"/>
      <c r="F18" s="303"/>
    </row>
    <row r="19" spans="1:15" s="14" customFormat="1" ht="15.75">
      <c r="A19" s="57" t="s">
        <v>3</v>
      </c>
      <c r="B19" s="56"/>
      <c r="C19" s="56"/>
      <c r="D19" s="171"/>
      <c r="E19" s="303"/>
      <c r="F19" s="303"/>
    </row>
    <row r="20" spans="1:15" s="14" customFormat="1" ht="15.75">
      <c r="A20" s="18" t="s">
        <v>74</v>
      </c>
      <c r="B20" s="58">
        <v>1000</v>
      </c>
      <c r="C20" s="127">
        <f>(F10/B20)</f>
        <v>400</v>
      </c>
      <c r="D20" s="304">
        <v>20</v>
      </c>
      <c r="E20" s="303">
        <f>D20*C20</f>
        <v>8000</v>
      </c>
      <c r="F20" s="303">
        <f>D20*C20</f>
        <v>8000</v>
      </c>
    </row>
    <row r="21" spans="1:15" s="14" customFormat="1" ht="15.75">
      <c r="A21" s="18" t="s">
        <v>75</v>
      </c>
      <c r="B21" s="58" t="s">
        <v>37</v>
      </c>
      <c r="C21" s="156">
        <f>IF(F10&lt;100001,'Line Item Notes'!C10,IF(F10&lt;200001,'Line Item Notes'!C11,IF(F10&lt;300001,'Line Item Notes'!C12,IF(F10&lt;400001,'Line Item Notes'!C13,'Line Item Notes'!C14))))</f>
        <v>2080</v>
      </c>
      <c r="D21" s="304">
        <v>12</v>
      </c>
      <c r="E21" s="303">
        <f>ROUNDUP(C21*D21,0)</f>
        <v>24960</v>
      </c>
      <c r="F21" s="303">
        <f>ROUNDUP(C21*D21,0)</f>
        <v>24960</v>
      </c>
    </row>
    <row r="22" spans="1:15" s="14" customFormat="1" ht="15.75">
      <c r="A22" s="53" t="s">
        <v>76</v>
      </c>
      <c r="B22" s="56" t="s">
        <v>37</v>
      </c>
      <c r="C22" s="157">
        <f>IF(F10&lt;100001,'Line Item Notes'!D10,IF(F10&lt;200001,'Line Item Notes'!D11,IF(F10&lt;300001,'Line Item Notes'!D12,IF(F10&lt;400001,'Line Item Notes'!D13,'Line Item Notes'!D14))))</f>
        <v>1920</v>
      </c>
      <c r="D22" s="304">
        <v>9</v>
      </c>
      <c r="E22" s="303">
        <f>ROUNDUP(D22*C22,0)</f>
        <v>17280</v>
      </c>
      <c r="F22" s="303">
        <f>ROUNDUP(D22*C22,0)</f>
        <v>17280</v>
      </c>
      <c r="I22" s="19"/>
    </row>
    <row r="23" spans="1:15" s="14" customFormat="1" ht="15">
      <c r="A23" s="53" t="s">
        <v>77</v>
      </c>
      <c r="B23" s="56" t="s">
        <v>114</v>
      </c>
      <c r="C23" s="135">
        <f>(C21*D21)+(C22*D22)</f>
        <v>42240</v>
      </c>
      <c r="D23" s="305">
        <v>7.6499999999999999E-2</v>
      </c>
      <c r="E23" s="303">
        <f>ROUNDUP(C23*D23,0)</f>
        <v>3232</v>
      </c>
      <c r="F23" s="303">
        <f>ROUNDUP(C23*D23,0)</f>
        <v>3232</v>
      </c>
      <c r="I23" s="19"/>
    </row>
    <row r="24" spans="1:15" s="14" customFormat="1" ht="30">
      <c r="A24" s="18" t="s">
        <v>78</v>
      </c>
      <c r="B24" s="79" t="s">
        <v>115</v>
      </c>
      <c r="C24" s="306">
        <f>C23/100</f>
        <v>422.4</v>
      </c>
      <c r="D24" s="171">
        <v>4</v>
      </c>
      <c r="E24" s="303">
        <f>C24*D24</f>
        <v>1689.6</v>
      </c>
      <c r="F24" s="303">
        <f>C24*D24</f>
        <v>1689.6</v>
      </c>
      <c r="G24" s="25"/>
      <c r="H24" s="25"/>
      <c r="I24" s="25"/>
      <c r="J24" s="25"/>
      <c r="K24" s="25"/>
      <c r="L24" s="25"/>
      <c r="M24" s="25"/>
      <c r="N24" s="25"/>
      <c r="O24" s="25"/>
    </row>
    <row r="25" spans="1:15" s="14" customFormat="1" ht="15.75">
      <c r="A25" s="53" t="s">
        <v>79</v>
      </c>
      <c r="B25" s="119" t="s">
        <v>200</v>
      </c>
      <c r="C25" s="158">
        <f>'Line Item Notes'!J20</f>
        <v>208</v>
      </c>
      <c r="D25" s="304">
        <f>'Line Item Notes'!F20</f>
        <v>3.5</v>
      </c>
      <c r="E25" s="303">
        <f>ROUNDUP(D25*C25,0)</f>
        <v>728</v>
      </c>
      <c r="F25" s="303">
        <f>ROUNDUP(D25*C25,0)</f>
        <v>728</v>
      </c>
      <c r="G25" s="14" t="s">
        <v>19</v>
      </c>
    </row>
    <row r="26" spans="1:15" s="14" customFormat="1" ht="15.75">
      <c r="A26" s="53" t="s">
        <v>80</v>
      </c>
      <c r="B26" s="119" t="s">
        <v>200</v>
      </c>
      <c r="C26" s="158">
        <f>'Line Item Notes'!J21</f>
        <v>347</v>
      </c>
      <c r="D26" s="304">
        <f>'Line Item Notes'!F21</f>
        <v>3.5</v>
      </c>
      <c r="E26" s="303">
        <f>ROUNDUP(D26*C26,0)</f>
        <v>1215</v>
      </c>
      <c r="F26" s="303">
        <f>ROUNDUP(D26*C26,0)</f>
        <v>1215</v>
      </c>
    </row>
    <row r="27" spans="1:15" s="14" customFormat="1" ht="15">
      <c r="A27" s="53" t="s">
        <v>81</v>
      </c>
      <c r="B27" s="119" t="s">
        <v>201</v>
      </c>
      <c r="C27" s="136">
        <v>1</v>
      </c>
      <c r="D27" s="171">
        <v>500</v>
      </c>
      <c r="E27" s="303">
        <f t="shared" ref="E27:E33" si="0">C27*D27</f>
        <v>500</v>
      </c>
      <c r="F27" s="303">
        <f>C27*D27</f>
        <v>500</v>
      </c>
    </row>
    <row r="28" spans="1:15" s="14" customFormat="1" ht="15">
      <c r="A28" s="53" t="s">
        <v>82</v>
      </c>
      <c r="B28" s="119" t="s">
        <v>201</v>
      </c>
      <c r="C28" s="136">
        <v>1</v>
      </c>
      <c r="D28" s="171">
        <v>200</v>
      </c>
      <c r="E28" s="303">
        <f t="shared" si="0"/>
        <v>200</v>
      </c>
      <c r="F28" s="303">
        <f>C28*D28</f>
        <v>200</v>
      </c>
    </row>
    <row r="29" spans="1:15" s="14" customFormat="1" ht="27.75">
      <c r="A29" s="78" t="s">
        <v>83</v>
      </c>
      <c r="B29" s="119" t="s">
        <v>201</v>
      </c>
      <c r="C29" s="136">
        <v>0</v>
      </c>
      <c r="D29" s="171">
        <v>500</v>
      </c>
      <c r="E29" s="303">
        <f t="shared" si="0"/>
        <v>0</v>
      </c>
      <c r="F29" s="303">
        <f>C29*D29</f>
        <v>0</v>
      </c>
    </row>
    <row r="30" spans="1:15" s="14" customFormat="1" ht="15">
      <c r="A30" s="53" t="s">
        <v>84</v>
      </c>
      <c r="B30" s="119" t="s">
        <v>116</v>
      </c>
      <c r="C30" s="136">
        <v>1</v>
      </c>
      <c r="D30" s="307">
        <f>'Line Item Notes'!E29</f>
        <v>2940</v>
      </c>
      <c r="E30" s="303">
        <f t="shared" si="0"/>
        <v>2940</v>
      </c>
      <c r="F30" s="303"/>
    </row>
    <row r="31" spans="1:15" s="14" customFormat="1" ht="15">
      <c r="A31" s="53" t="s">
        <v>85</v>
      </c>
      <c r="B31" s="371" t="s">
        <v>34</v>
      </c>
      <c r="C31" s="159">
        <f>C52</f>
        <v>166.66666666666666</v>
      </c>
      <c r="D31" s="307">
        <f>'Line Item Notes'!C32</f>
        <v>1</v>
      </c>
      <c r="E31" s="303">
        <f t="shared" si="0"/>
        <v>166.66666666666666</v>
      </c>
      <c r="F31" s="303">
        <f>C31*D31</f>
        <v>166.66666666666666</v>
      </c>
    </row>
    <row r="32" spans="1:15" s="14" customFormat="1" ht="15">
      <c r="A32" s="53" t="s">
        <v>44</v>
      </c>
      <c r="B32" s="119" t="s">
        <v>201</v>
      </c>
      <c r="C32" s="136">
        <v>1</v>
      </c>
      <c r="D32" s="307">
        <v>0</v>
      </c>
      <c r="E32" s="303">
        <f t="shared" si="0"/>
        <v>0</v>
      </c>
      <c r="F32" s="303">
        <f>C32*D32</f>
        <v>0</v>
      </c>
    </row>
    <row r="33" spans="1:15" s="14" customFormat="1" ht="15">
      <c r="A33" s="53" t="s">
        <v>86</v>
      </c>
      <c r="B33" s="119" t="s">
        <v>201</v>
      </c>
      <c r="C33" s="136">
        <v>1</v>
      </c>
      <c r="D33" s="307">
        <v>0</v>
      </c>
      <c r="E33" s="303">
        <f t="shared" si="0"/>
        <v>0</v>
      </c>
      <c r="F33" s="303">
        <f>C33*D33</f>
        <v>0</v>
      </c>
    </row>
    <row r="34" spans="1:15" s="14" customFormat="1" ht="15">
      <c r="A34" s="53"/>
      <c r="B34" s="56"/>
      <c r="C34" s="56"/>
      <c r="D34" s="303"/>
      <c r="E34" s="303"/>
      <c r="F34" s="303"/>
    </row>
    <row r="35" spans="1:15" s="14" customFormat="1" ht="15.75">
      <c r="A35" s="57" t="s">
        <v>4</v>
      </c>
      <c r="B35" s="56"/>
      <c r="C35" s="56"/>
      <c r="D35" s="303"/>
      <c r="E35" s="302">
        <f>SUM(E20:E34)</f>
        <v>60911.266666666663</v>
      </c>
      <c r="F35" s="302">
        <f>SUM(F20:F34)</f>
        <v>57971.266666666663</v>
      </c>
    </row>
    <row r="36" spans="1:15" s="14" customFormat="1" ht="15.75">
      <c r="A36" s="18"/>
      <c r="B36" s="56"/>
      <c r="C36" s="56"/>
      <c r="D36" s="303"/>
      <c r="E36" s="302"/>
      <c r="F36" s="302"/>
    </row>
    <row r="37" spans="1:15" s="14" customFormat="1" ht="15.75">
      <c r="A37" s="57" t="s">
        <v>87</v>
      </c>
      <c r="B37" s="56"/>
      <c r="C37" s="56"/>
      <c r="D37" s="303"/>
      <c r="E37" s="302">
        <f>E17-E35</f>
        <v>-50911.266666666663</v>
      </c>
      <c r="F37" s="302">
        <f>F17-F35</f>
        <v>-7971.2666666666628</v>
      </c>
    </row>
    <row r="38" spans="1:15" s="14" customFormat="1" ht="15">
      <c r="A38" s="18"/>
      <c r="B38" s="56"/>
      <c r="C38" s="56"/>
      <c r="D38" s="303"/>
      <c r="E38" s="303"/>
      <c r="F38" s="303"/>
      <c r="I38" s="20"/>
      <c r="J38" s="21"/>
    </row>
    <row r="39" spans="1:15" s="14" customFormat="1" ht="15.75">
      <c r="A39" s="57" t="s">
        <v>5</v>
      </c>
      <c r="B39" s="56"/>
      <c r="C39" s="56"/>
      <c r="D39" s="303"/>
      <c r="E39" s="303"/>
      <c r="F39" s="303"/>
    </row>
    <row r="40" spans="1:15" s="14" customFormat="1" ht="15">
      <c r="A40" s="53" t="s">
        <v>88</v>
      </c>
      <c r="B40" s="56" t="s">
        <v>117</v>
      </c>
      <c r="C40" s="136">
        <v>1</v>
      </c>
      <c r="D40" s="308"/>
      <c r="E40" s="308">
        <f>ROUNDUP('Line Item Notes'!G39,0)</f>
        <v>705</v>
      </c>
      <c r="F40" s="308">
        <f>ROUNDUP('Line Item Notes'!H39,0)</f>
        <v>611</v>
      </c>
    </row>
    <row r="41" spans="1:15" s="14" customFormat="1" ht="15">
      <c r="A41" s="18" t="s">
        <v>89</v>
      </c>
      <c r="B41" s="56" t="s">
        <v>118</v>
      </c>
      <c r="C41" s="136">
        <v>1</v>
      </c>
      <c r="D41" s="171">
        <f>ROUNDUP(0.045*'Line Item Notes'!D43,0)</f>
        <v>884</v>
      </c>
      <c r="E41" s="303">
        <f>ROUNDUP(C41*D41,0)</f>
        <v>884</v>
      </c>
      <c r="F41" s="303">
        <f>ROUNDUP(C41*D41,0)</f>
        <v>884</v>
      </c>
      <c r="G41" s="22"/>
      <c r="J41" s="22"/>
      <c r="L41" s="23"/>
      <c r="M41" s="23"/>
      <c r="N41" s="22"/>
    </row>
    <row r="42" spans="1:15" s="14" customFormat="1" ht="15">
      <c r="A42" s="18" t="s">
        <v>90</v>
      </c>
      <c r="B42" s="56" t="s">
        <v>118</v>
      </c>
      <c r="C42" s="136">
        <v>1</v>
      </c>
      <c r="D42" s="171">
        <v>400</v>
      </c>
      <c r="E42" s="303">
        <f t="shared" ref="E42:E47" si="1">C42*D42</f>
        <v>400</v>
      </c>
      <c r="F42" s="303">
        <f>C42*D42</f>
        <v>400</v>
      </c>
      <c r="G42" s="24"/>
      <c r="H42" s="25"/>
      <c r="I42" s="26"/>
      <c r="J42" s="24"/>
      <c r="K42" s="25"/>
      <c r="L42" s="27"/>
      <c r="M42" s="27"/>
      <c r="N42" s="27"/>
      <c r="O42" s="25"/>
    </row>
    <row r="43" spans="1:15" s="14" customFormat="1" ht="15">
      <c r="A43" s="18" t="s">
        <v>91</v>
      </c>
      <c r="B43" s="56" t="s">
        <v>118</v>
      </c>
      <c r="C43" s="136">
        <v>1</v>
      </c>
      <c r="D43" s="171">
        <v>400</v>
      </c>
      <c r="E43" s="303">
        <f t="shared" si="1"/>
        <v>400</v>
      </c>
      <c r="F43" s="303">
        <f>C43*D43</f>
        <v>400</v>
      </c>
      <c r="G43" s="24"/>
      <c r="H43" s="25"/>
      <c r="I43" s="26"/>
      <c r="J43" s="24"/>
      <c r="K43" s="25"/>
      <c r="L43" s="27"/>
      <c r="M43" s="27"/>
      <c r="N43" s="27"/>
      <c r="O43" s="25"/>
    </row>
    <row r="44" spans="1:15" s="14" customFormat="1" ht="15">
      <c r="A44" s="53" t="s">
        <v>92</v>
      </c>
      <c r="B44" s="56" t="s">
        <v>116</v>
      </c>
      <c r="C44" s="136">
        <v>1</v>
      </c>
      <c r="D44" s="307">
        <v>500</v>
      </c>
      <c r="E44" s="303">
        <f t="shared" si="1"/>
        <v>500</v>
      </c>
      <c r="F44" s="303"/>
      <c r="G44" s="23"/>
    </row>
    <row r="45" spans="1:15" s="14" customFormat="1" ht="15">
      <c r="A45" s="18" t="s">
        <v>93</v>
      </c>
      <c r="B45" s="56" t="s">
        <v>118</v>
      </c>
      <c r="C45" s="136">
        <v>1</v>
      </c>
      <c r="D45" s="171">
        <v>50</v>
      </c>
      <c r="E45" s="303">
        <f t="shared" si="1"/>
        <v>50</v>
      </c>
      <c r="F45" s="303">
        <f>C45*D45</f>
        <v>50</v>
      </c>
      <c r="K45" s="28"/>
      <c r="L45" s="28"/>
    </row>
    <row r="46" spans="1:15" s="14" customFormat="1" ht="15">
      <c r="A46" s="53" t="s">
        <v>94</v>
      </c>
      <c r="B46" s="56" t="s">
        <v>171</v>
      </c>
      <c r="C46" s="136">
        <v>1</v>
      </c>
      <c r="D46" s="171">
        <v>300</v>
      </c>
      <c r="E46" s="303">
        <f t="shared" si="1"/>
        <v>300</v>
      </c>
      <c r="F46" s="303">
        <f>C46*D46</f>
        <v>300</v>
      </c>
    </row>
    <row r="47" spans="1:15" s="14" customFormat="1" ht="15">
      <c r="A47" s="53" t="s">
        <v>95</v>
      </c>
      <c r="B47" s="119" t="s">
        <v>118</v>
      </c>
      <c r="C47" s="309">
        <v>1</v>
      </c>
      <c r="D47" s="307">
        <v>400</v>
      </c>
      <c r="E47" s="310">
        <f t="shared" si="1"/>
        <v>400</v>
      </c>
      <c r="F47" s="310">
        <f>C47*D47</f>
        <v>400</v>
      </c>
    </row>
    <row r="48" spans="1:15" s="29" customFormat="1" ht="15.75">
      <c r="A48" s="57" t="s">
        <v>96</v>
      </c>
      <c r="B48" s="59"/>
      <c r="C48" s="311"/>
      <c r="D48" s="302"/>
      <c r="E48" s="302"/>
      <c r="F48" s="302"/>
    </row>
    <row r="49" spans="1:6" s="14" customFormat="1" ht="15">
      <c r="A49" s="18" t="s">
        <v>45</v>
      </c>
      <c r="B49" s="56" t="s">
        <v>119</v>
      </c>
      <c r="C49" s="312">
        <f>'Line Item Notes'!G43</f>
        <v>1</v>
      </c>
      <c r="D49" s="303">
        <f>'Line Item Notes'!F43</f>
        <v>2806</v>
      </c>
      <c r="E49" s="303">
        <f t="shared" ref="E49:E56" si="2">C49*D49</f>
        <v>2806</v>
      </c>
      <c r="F49" s="303">
        <f t="shared" ref="F49:F56" si="3">C49*D49</f>
        <v>2806</v>
      </c>
    </row>
    <row r="50" spans="1:6" s="14" customFormat="1" ht="15">
      <c r="A50" s="53" t="s">
        <v>97</v>
      </c>
      <c r="B50" s="56" t="s">
        <v>119</v>
      </c>
      <c r="C50" s="312">
        <f>'Line Item Notes'!G44</f>
        <v>1</v>
      </c>
      <c r="D50" s="303">
        <f>'Line Item Notes'!F44</f>
        <v>343</v>
      </c>
      <c r="E50" s="303">
        <f>C50*D50</f>
        <v>343</v>
      </c>
      <c r="F50" s="303">
        <f>C50*D50</f>
        <v>343</v>
      </c>
    </row>
    <row r="51" spans="1:6" s="14" customFormat="1" ht="15">
      <c r="A51" s="18" t="s">
        <v>7</v>
      </c>
      <c r="B51" s="56" t="s">
        <v>119</v>
      </c>
      <c r="C51" s="312">
        <f>'Line Item Notes'!G45</f>
        <v>1</v>
      </c>
      <c r="D51" s="303">
        <f>'Line Item Notes'!F45</f>
        <v>5000</v>
      </c>
      <c r="E51" s="303">
        <f t="shared" si="2"/>
        <v>5000</v>
      </c>
      <c r="F51" s="303">
        <f t="shared" si="3"/>
        <v>5000</v>
      </c>
    </row>
    <row r="52" spans="1:6" s="14" customFormat="1" ht="15">
      <c r="A52" s="18" t="s">
        <v>0</v>
      </c>
      <c r="B52" s="56" t="s">
        <v>119</v>
      </c>
      <c r="C52" s="312">
        <f>'Line Item Notes'!G46</f>
        <v>166.66666666666666</v>
      </c>
      <c r="D52" s="303">
        <f>'Line Item Notes'!F46</f>
        <v>20</v>
      </c>
      <c r="E52" s="308">
        <f t="shared" si="2"/>
        <v>3333.333333333333</v>
      </c>
      <c r="F52" s="308">
        <f t="shared" si="3"/>
        <v>3333.333333333333</v>
      </c>
    </row>
    <row r="53" spans="1:6" s="14" customFormat="1" ht="15">
      <c r="A53" s="18" t="s">
        <v>98</v>
      </c>
      <c r="B53" s="56" t="s">
        <v>119</v>
      </c>
      <c r="C53" s="312">
        <f>'Line Item Notes'!G47</f>
        <v>400</v>
      </c>
      <c r="D53" s="303">
        <f>'Line Item Notes'!F47</f>
        <v>0.9</v>
      </c>
      <c r="E53" s="308">
        <f>ROUNDUP(C53*D53,0)</f>
        <v>360</v>
      </c>
      <c r="F53" s="308">
        <f>ROUNDUP(C53*D53,0)</f>
        <v>360</v>
      </c>
    </row>
    <row r="54" spans="1:6" s="14" customFormat="1" ht="15">
      <c r="A54" s="18" t="s">
        <v>99</v>
      </c>
      <c r="B54" s="56" t="s">
        <v>119</v>
      </c>
      <c r="C54" s="312">
        <f>'Line Item Notes'!G48</f>
        <v>666.66666666666663</v>
      </c>
      <c r="D54" s="303">
        <f>'Line Item Notes'!F48</f>
        <v>0.9</v>
      </c>
      <c r="E54" s="308">
        <f>ROUNDUP(C54*D54,0)</f>
        <v>600</v>
      </c>
      <c r="F54" s="308">
        <f>ROUNDUP(C54*D54,0)</f>
        <v>600</v>
      </c>
    </row>
    <row r="55" spans="1:6" s="14" customFormat="1" ht="15">
      <c r="A55" s="18" t="s">
        <v>100</v>
      </c>
      <c r="B55" s="56" t="s">
        <v>119</v>
      </c>
      <c r="C55" s="312">
        <f>'Line Item Notes'!G49</f>
        <v>0</v>
      </c>
      <c r="D55" s="303">
        <f>'Line Item Notes'!F49</f>
        <v>1815</v>
      </c>
      <c r="E55" s="313">
        <f t="shared" si="2"/>
        <v>0</v>
      </c>
      <c r="F55" s="313">
        <f t="shared" si="3"/>
        <v>0</v>
      </c>
    </row>
    <row r="56" spans="1:6" s="14" customFormat="1" ht="15">
      <c r="A56" s="18" t="s">
        <v>101</v>
      </c>
      <c r="B56" s="56" t="s">
        <v>119</v>
      </c>
      <c r="C56" s="312">
        <f>'Line Item Notes'!G50</f>
        <v>0</v>
      </c>
      <c r="D56" s="303">
        <f>'Line Item Notes'!F50</f>
        <v>1352</v>
      </c>
      <c r="E56" s="313">
        <f t="shared" si="2"/>
        <v>0</v>
      </c>
      <c r="F56" s="313">
        <f t="shared" si="3"/>
        <v>0</v>
      </c>
    </row>
    <row r="57" spans="1:6" s="14" customFormat="1" ht="15">
      <c r="A57" s="18" t="s">
        <v>102</v>
      </c>
      <c r="B57" s="56" t="s">
        <v>119</v>
      </c>
      <c r="C57" s="312">
        <f>'Line Item Notes'!G51</f>
        <v>0</v>
      </c>
      <c r="D57" s="303">
        <f>'Line Item Notes'!F51</f>
        <v>1215</v>
      </c>
      <c r="E57" s="313">
        <f>C57*D57</f>
        <v>0</v>
      </c>
      <c r="F57" s="313">
        <f>C57*D57</f>
        <v>0</v>
      </c>
    </row>
    <row r="58" spans="1:6" s="14" customFormat="1" ht="15">
      <c r="A58" s="18" t="s">
        <v>17</v>
      </c>
      <c r="B58" s="56" t="s">
        <v>119</v>
      </c>
      <c r="C58" s="312">
        <f>'Line Item Notes'!G52</f>
        <v>0</v>
      </c>
      <c r="D58" s="303">
        <f>'Line Item Notes'!F52</f>
        <v>1429</v>
      </c>
      <c r="E58" s="313">
        <f>C58*D58</f>
        <v>0</v>
      </c>
      <c r="F58" s="313">
        <f>C58*D58</f>
        <v>0</v>
      </c>
    </row>
    <row r="59" spans="1:6" s="14" customFormat="1" ht="15">
      <c r="A59" s="18"/>
      <c r="B59" s="56"/>
      <c r="C59" s="56"/>
      <c r="D59" s="313"/>
      <c r="E59" s="313"/>
      <c r="F59" s="313"/>
    </row>
    <row r="60" spans="1:6" s="14" customFormat="1" ht="15">
      <c r="A60" s="18"/>
      <c r="B60" s="56"/>
      <c r="C60" s="56"/>
      <c r="D60" s="313"/>
      <c r="E60" s="313"/>
      <c r="F60" s="313"/>
    </row>
    <row r="61" spans="1:6" s="14" customFormat="1" ht="15.75">
      <c r="A61" s="57" t="s">
        <v>2</v>
      </c>
      <c r="B61" s="56"/>
      <c r="C61" s="56"/>
      <c r="D61" s="313"/>
      <c r="E61" s="314">
        <f>SUM(E40:E58)</f>
        <v>16081.333333333332</v>
      </c>
      <c r="F61" s="314">
        <f>SUM(F40:F58)</f>
        <v>15487.333333333332</v>
      </c>
    </row>
    <row r="62" spans="1:6" s="14" customFormat="1" ht="15">
      <c r="A62" s="18"/>
      <c r="B62" s="56"/>
      <c r="C62" s="56"/>
      <c r="D62" s="303"/>
      <c r="E62" s="303"/>
      <c r="F62" s="303"/>
    </row>
    <row r="63" spans="1:6" s="14" customFormat="1" ht="15.75">
      <c r="A63" s="57" t="s">
        <v>157</v>
      </c>
      <c r="B63" s="56"/>
      <c r="C63" s="56"/>
      <c r="D63" s="303"/>
      <c r="E63" s="303"/>
      <c r="F63" s="303"/>
    </row>
    <row r="64" spans="1:6" s="14" customFormat="1" ht="15.75">
      <c r="A64" s="57" t="s">
        <v>15</v>
      </c>
      <c r="B64" s="56"/>
      <c r="C64" s="56"/>
      <c r="D64" s="303"/>
      <c r="E64" s="303"/>
      <c r="F64" s="303"/>
    </row>
    <row r="65" spans="1:6" s="14" customFormat="1" ht="15">
      <c r="A65" s="18" t="s">
        <v>103</v>
      </c>
      <c r="B65" s="56"/>
      <c r="C65" s="136">
        <v>1</v>
      </c>
      <c r="D65" s="171">
        <v>25</v>
      </c>
      <c r="E65" s="301">
        <f>C65*D65</f>
        <v>25</v>
      </c>
      <c r="F65" s="301">
        <v>0</v>
      </c>
    </row>
    <row r="66" spans="1:6" s="14" customFormat="1" ht="15">
      <c r="A66" s="18" t="s">
        <v>104</v>
      </c>
      <c r="B66" s="56"/>
      <c r="C66" s="136">
        <v>1</v>
      </c>
      <c r="D66" s="171" t="s">
        <v>162</v>
      </c>
      <c r="E66" s="171">
        <v>35</v>
      </c>
      <c r="F66" s="301">
        <v>0</v>
      </c>
    </row>
    <row r="67" spans="1:6" s="14" customFormat="1" ht="15">
      <c r="A67" s="18" t="s">
        <v>170</v>
      </c>
      <c r="B67" s="56"/>
      <c r="C67" s="136">
        <v>1</v>
      </c>
      <c r="D67" s="171">
        <v>510</v>
      </c>
      <c r="E67" s="301">
        <f>C67*D67</f>
        <v>510</v>
      </c>
      <c r="F67" s="301">
        <v>0</v>
      </c>
    </row>
    <row r="68" spans="1:6" s="14" customFormat="1" ht="15">
      <c r="A68" s="18" t="s">
        <v>105</v>
      </c>
      <c r="B68" s="56"/>
      <c r="C68" s="136">
        <v>1</v>
      </c>
      <c r="D68" s="171">
        <v>75</v>
      </c>
      <c r="E68" s="171">
        <v>0</v>
      </c>
      <c r="F68" s="171">
        <v>0</v>
      </c>
    </row>
    <row r="69" spans="1:6" s="14" customFormat="1" ht="15">
      <c r="A69" s="18" t="s">
        <v>106</v>
      </c>
      <c r="B69" s="56"/>
      <c r="C69" s="136">
        <v>1</v>
      </c>
      <c r="D69" s="171">
        <v>12</v>
      </c>
      <c r="E69" s="171">
        <v>0</v>
      </c>
      <c r="F69" s="171">
        <v>0</v>
      </c>
    </row>
    <row r="70" spans="1:6" s="14" customFormat="1" ht="15">
      <c r="A70" s="18" t="s">
        <v>107</v>
      </c>
      <c r="B70" s="56"/>
      <c r="C70" s="136">
        <v>1</v>
      </c>
      <c r="D70" s="171">
        <v>1.5</v>
      </c>
      <c r="E70" s="171">
        <v>0</v>
      </c>
      <c r="F70" s="171">
        <v>0</v>
      </c>
    </row>
    <row r="71" spans="1:6" s="14" customFormat="1" ht="15.75">
      <c r="A71" s="18" t="s">
        <v>161</v>
      </c>
      <c r="B71" s="56"/>
      <c r="C71" s="315">
        <f>F10*2/100000</f>
        <v>8</v>
      </c>
      <c r="D71" s="301">
        <v>1.5</v>
      </c>
      <c r="E71" s="301">
        <f>C71*$D$71</f>
        <v>12</v>
      </c>
      <c r="F71" s="301">
        <f>C71*$D$71</f>
        <v>12</v>
      </c>
    </row>
    <row r="72" spans="1:6" s="14" customFormat="1" ht="15.75">
      <c r="A72" s="57" t="s">
        <v>9</v>
      </c>
      <c r="B72" s="56"/>
      <c r="C72" s="56"/>
      <c r="D72" s="171"/>
      <c r="E72" s="303"/>
      <c r="F72" s="303"/>
    </row>
    <row r="73" spans="1:6" s="14" customFormat="1" ht="15">
      <c r="A73" s="18" t="s">
        <v>108</v>
      </c>
      <c r="B73" s="56" t="s">
        <v>120</v>
      </c>
      <c r="C73" s="136">
        <v>1</v>
      </c>
      <c r="D73" s="171">
        <v>190</v>
      </c>
      <c r="E73" s="303">
        <f>C73*D73</f>
        <v>190</v>
      </c>
      <c r="F73" s="303">
        <f>C73*D73</f>
        <v>190</v>
      </c>
    </row>
    <row r="74" spans="1:6" s="14" customFormat="1" ht="15">
      <c r="A74" s="18" t="s">
        <v>109</v>
      </c>
      <c r="B74" s="56" t="s">
        <v>120</v>
      </c>
      <c r="C74" s="136">
        <v>1</v>
      </c>
      <c r="D74" s="301">
        <v>10</v>
      </c>
      <c r="E74" s="301">
        <f>C74*D74</f>
        <v>10</v>
      </c>
      <c r="F74" s="301">
        <f>C74*D74</f>
        <v>10</v>
      </c>
    </row>
    <row r="75" spans="1:6" s="14" customFormat="1" ht="15.75">
      <c r="A75" s="18" t="s">
        <v>110</v>
      </c>
      <c r="B75" s="56" t="s">
        <v>163</v>
      </c>
      <c r="C75" s="315">
        <v>1</v>
      </c>
      <c r="D75" s="301">
        <v>5</v>
      </c>
      <c r="E75" s="301">
        <f>C75*D75</f>
        <v>5</v>
      </c>
      <c r="F75" s="301">
        <f>C75*D75</f>
        <v>5</v>
      </c>
    </row>
    <row r="76" spans="1:6" s="14" customFormat="1" ht="15">
      <c r="A76" s="18" t="s">
        <v>111</v>
      </c>
      <c r="B76" s="61"/>
      <c r="C76" s="316">
        <v>0</v>
      </c>
      <c r="D76" s="172">
        <v>25</v>
      </c>
      <c r="E76" s="301">
        <f>C76*D76</f>
        <v>0</v>
      </c>
      <c r="F76" s="317">
        <v>0</v>
      </c>
    </row>
    <row r="77" spans="1:6" s="124" customFormat="1" ht="15">
      <c r="A77" s="18"/>
      <c r="B77" s="61"/>
      <c r="C77" s="316"/>
      <c r="D77" s="172"/>
      <c r="E77" s="301"/>
      <c r="F77" s="317"/>
    </row>
    <row r="78" spans="1:6" s="14" customFormat="1" ht="15.75">
      <c r="A78" s="57" t="s">
        <v>198</v>
      </c>
      <c r="B78" s="56"/>
      <c r="C78" s="56"/>
      <c r="D78" s="303"/>
      <c r="E78" s="302">
        <f>SUM(E65:E76)</f>
        <v>787</v>
      </c>
      <c r="F78" s="302">
        <f>SUM(F65:F76)</f>
        <v>217</v>
      </c>
    </row>
    <row r="79" spans="1:6" s="14" customFormat="1" ht="15">
      <c r="A79" s="18"/>
      <c r="B79" s="56"/>
      <c r="C79" s="56"/>
      <c r="D79" s="303"/>
      <c r="E79" s="303"/>
      <c r="F79" s="303"/>
    </row>
    <row r="80" spans="1:6" s="14" customFormat="1" ht="15.75">
      <c r="A80" s="57" t="s">
        <v>199</v>
      </c>
      <c r="B80" s="56"/>
      <c r="C80" s="56"/>
      <c r="D80" s="313"/>
      <c r="E80" s="314">
        <f>E35+E61+E78</f>
        <v>77779.599999999991</v>
      </c>
      <c r="F80" s="314">
        <f>F35+F61+F78</f>
        <v>73675.599999999991</v>
      </c>
    </row>
    <row r="81" spans="1:6" s="14" customFormat="1" ht="15">
      <c r="A81" s="18"/>
      <c r="B81" s="56"/>
      <c r="C81" s="56"/>
      <c r="D81" s="303"/>
      <c r="E81" s="303"/>
      <c r="F81" s="303"/>
    </row>
    <row r="82" spans="1:6" s="14" customFormat="1" ht="15.75">
      <c r="A82" s="57" t="s">
        <v>112</v>
      </c>
      <c r="B82" s="56"/>
      <c r="C82" s="56"/>
      <c r="D82" s="318"/>
      <c r="E82" s="372">
        <f>E17-E80</f>
        <v>-67779.599999999991</v>
      </c>
      <c r="F82" s="372">
        <f>F17-F80</f>
        <v>-23675.599999999991</v>
      </c>
    </row>
    <row r="83" spans="1:6" s="14" customFormat="1" ht="12.75" customHeight="1">
      <c r="A83" s="18"/>
      <c r="B83" s="56"/>
      <c r="C83" s="56"/>
      <c r="D83" s="56"/>
      <c r="E83" s="318"/>
      <c r="F83" s="318"/>
    </row>
    <row r="84" spans="1:6">
      <c r="E84" s="291"/>
      <c r="F84" s="291"/>
    </row>
    <row r="85" spans="1:6" ht="42" customHeight="1">
      <c r="A85" s="404" t="s">
        <v>121</v>
      </c>
      <c r="B85" s="405"/>
      <c r="C85" s="405"/>
      <c r="D85" s="405"/>
      <c r="E85" s="405"/>
      <c r="F85" s="405"/>
    </row>
    <row r="86" spans="1:6" ht="42" customHeight="1">
      <c r="A86" s="402" t="s">
        <v>174</v>
      </c>
      <c r="B86" s="403"/>
      <c r="C86" s="403"/>
      <c r="D86" s="403"/>
      <c r="E86" s="403"/>
      <c r="F86" s="403"/>
    </row>
    <row r="87" spans="1:6" ht="18">
      <c r="A87" s="406" t="s">
        <v>122</v>
      </c>
      <c r="B87" s="406"/>
      <c r="C87" s="406"/>
      <c r="D87" s="406"/>
      <c r="E87" s="406"/>
      <c r="F87" s="406"/>
    </row>
    <row r="88" spans="1:6" ht="18">
      <c r="A88" s="182" t="s">
        <v>123</v>
      </c>
      <c r="B88" s="390" t="s">
        <v>6</v>
      </c>
      <c r="C88" s="390"/>
      <c r="D88" s="390"/>
      <c r="E88" s="390"/>
      <c r="F88" s="390"/>
    </row>
    <row r="89" spans="1:6" ht="15.75">
      <c r="A89" s="177">
        <f>F82</f>
        <v>-23675.599999999991</v>
      </c>
      <c r="B89" s="178">
        <v>0.3</v>
      </c>
      <c r="C89" s="178">
        <f>B89+0.05</f>
        <v>0.35</v>
      </c>
      <c r="D89" s="178">
        <f>C89+0.05</f>
        <v>0.39999999999999997</v>
      </c>
      <c r="E89" s="178">
        <f>D89+0.05</f>
        <v>0.44999999999999996</v>
      </c>
      <c r="F89" s="178">
        <f>E89+0.05</f>
        <v>0.49999999999999994</v>
      </c>
    </row>
    <row r="90" spans="1:6" ht="15.75">
      <c r="A90" s="354">
        <v>0.1</v>
      </c>
      <c r="B90" s="179">
        <f t="dataTable" ref="B90:F130" dt2D="1" dtr="0" r1="B11" r2="B10"/>
        <v>-41643.58</v>
      </c>
      <c r="C90" s="179">
        <v>-51750.84</v>
      </c>
      <c r="D90" s="179">
        <v>-52294.619999999995</v>
      </c>
      <c r="E90" s="357">
        <v>-52922.51999999999</v>
      </c>
      <c r="F90" s="358">
        <v>-53675.599999999991</v>
      </c>
    </row>
    <row r="91" spans="1:6" ht="15.75">
      <c r="A91" s="355">
        <f t="shared" ref="A91:A125" si="4">A90+0.01</f>
        <v>0.11</v>
      </c>
      <c r="B91" s="180">
        <v>-39643.58</v>
      </c>
      <c r="C91" s="180">
        <v>-49750.84</v>
      </c>
      <c r="D91" s="180">
        <v>-50294.619999999995</v>
      </c>
      <c r="E91" s="359">
        <v>-50922.51999999999</v>
      </c>
      <c r="F91" s="360">
        <v>-51675.599999999991</v>
      </c>
    </row>
    <row r="92" spans="1:6" ht="15.75">
      <c r="A92" s="355">
        <f t="shared" si="4"/>
        <v>0.12</v>
      </c>
      <c r="B92" s="180">
        <v>-37643.58</v>
      </c>
      <c r="C92" s="180">
        <v>-47750.84</v>
      </c>
      <c r="D92" s="180">
        <v>-48294.619999999995</v>
      </c>
      <c r="E92" s="359">
        <v>-48922.51999999999</v>
      </c>
      <c r="F92" s="360">
        <v>-49675.599999999991</v>
      </c>
    </row>
    <row r="93" spans="1:6" ht="15.75">
      <c r="A93" s="355">
        <f t="shared" si="4"/>
        <v>0.13</v>
      </c>
      <c r="B93" s="180">
        <v>-35643.58</v>
      </c>
      <c r="C93" s="180">
        <v>-45750.84</v>
      </c>
      <c r="D93" s="180">
        <v>-46294.619999999995</v>
      </c>
      <c r="E93" s="359">
        <v>-46922.51999999999</v>
      </c>
      <c r="F93" s="360">
        <v>-47675.599999999991</v>
      </c>
    </row>
    <row r="94" spans="1:6" ht="15.75">
      <c r="A94" s="355">
        <f t="shared" si="4"/>
        <v>0.14000000000000001</v>
      </c>
      <c r="B94" s="180">
        <v>-33643.58</v>
      </c>
      <c r="C94" s="180">
        <v>-43750.84</v>
      </c>
      <c r="D94" s="180">
        <v>-44294.619999999995</v>
      </c>
      <c r="E94" s="359">
        <v>-44922.51999999999</v>
      </c>
      <c r="F94" s="360">
        <v>-45675.599999999991</v>
      </c>
    </row>
    <row r="95" spans="1:6" ht="15.75">
      <c r="A95" s="355">
        <f t="shared" si="4"/>
        <v>0.15000000000000002</v>
      </c>
      <c r="B95" s="180">
        <v>-31643.579999999998</v>
      </c>
      <c r="C95" s="180">
        <v>-41750.839999999997</v>
      </c>
      <c r="D95" s="180">
        <v>-42294.619999999995</v>
      </c>
      <c r="E95" s="359">
        <v>-42922.51999999999</v>
      </c>
      <c r="F95" s="360">
        <v>-43675.599999999991</v>
      </c>
    </row>
    <row r="96" spans="1:6" ht="15.75">
      <c r="A96" s="355">
        <f t="shared" si="4"/>
        <v>0.16000000000000003</v>
      </c>
      <c r="B96" s="180">
        <v>-29643.579999999994</v>
      </c>
      <c r="C96" s="180">
        <v>-39750.839999999989</v>
      </c>
      <c r="D96" s="180">
        <v>-40294.619999999988</v>
      </c>
      <c r="E96" s="359">
        <v>-40922.519999999982</v>
      </c>
      <c r="F96" s="360">
        <v>-41675.599999999984</v>
      </c>
    </row>
    <row r="97" spans="1:6" ht="15.75">
      <c r="A97" s="355">
        <f t="shared" si="4"/>
        <v>0.17000000000000004</v>
      </c>
      <c r="B97" s="180">
        <v>-27643.579999999994</v>
      </c>
      <c r="C97" s="180">
        <v>-37750.839999999989</v>
      </c>
      <c r="D97" s="180">
        <v>-38294.619999999988</v>
      </c>
      <c r="E97" s="359">
        <v>-38922.519999999982</v>
      </c>
      <c r="F97" s="360">
        <v>-39675.599999999984</v>
      </c>
    </row>
    <row r="98" spans="1:6" ht="15.75">
      <c r="A98" s="355">
        <f t="shared" si="4"/>
        <v>0.18000000000000005</v>
      </c>
      <c r="B98" s="180">
        <v>-25643.579999999994</v>
      </c>
      <c r="C98" s="180">
        <v>-35750.839999999989</v>
      </c>
      <c r="D98" s="180">
        <v>-36294.619999999988</v>
      </c>
      <c r="E98" s="359">
        <v>-36922.519999999982</v>
      </c>
      <c r="F98" s="360">
        <v>-37675.599999999984</v>
      </c>
    </row>
    <row r="99" spans="1:6" ht="15.75">
      <c r="A99" s="355">
        <f t="shared" si="4"/>
        <v>0.19000000000000006</v>
      </c>
      <c r="B99" s="180">
        <v>-23643.579999999987</v>
      </c>
      <c r="C99" s="180">
        <v>-33750.839999999982</v>
      </c>
      <c r="D99" s="180">
        <v>-34294.619999999981</v>
      </c>
      <c r="E99" s="359">
        <v>-34922.519999999975</v>
      </c>
      <c r="F99" s="360">
        <v>-35675.599999999977</v>
      </c>
    </row>
    <row r="100" spans="1:6" ht="15.75">
      <c r="A100" s="355">
        <f t="shared" si="4"/>
        <v>0.20000000000000007</v>
      </c>
      <c r="B100" s="180">
        <v>-21643.579999999987</v>
      </c>
      <c r="C100" s="180">
        <v>-31750.839999999982</v>
      </c>
      <c r="D100" s="180">
        <v>-32294.619999999981</v>
      </c>
      <c r="E100" s="359">
        <v>-32922.519999999975</v>
      </c>
      <c r="F100" s="360">
        <v>-33675.599999999977</v>
      </c>
    </row>
    <row r="101" spans="1:6" ht="15.75">
      <c r="A101" s="355">
        <f t="shared" si="4"/>
        <v>0.21000000000000008</v>
      </c>
      <c r="B101" s="180">
        <v>-19643.579999999987</v>
      </c>
      <c r="C101" s="180">
        <v>-29750.839999999982</v>
      </c>
      <c r="D101" s="180">
        <v>-30294.619999999981</v>
      </c>
      <c r="E101" s="359">
        <v>-30922.519999999975</v>
      </c>
      <c r="F101" s="360">
        <v>-31675.599999999977</v>
      </c>
    </row>
    <row r="102" spans="1:6" ht="15.75">
      <c r="A102" s="355">
        <f t="shared" si="4"/>
        <v>0.22000000000000008</v>
      </c>
      <c r="B102" s="180">
        <v>-17643.579999999987</v>
      </c>
      <c r="C102" s="180">
        <v>-27750.839999999982</v>
      </c>
      <c r="D102" s="180">
        <v>-28294.619999999981</v>
      </c>
      <c r="E102" s="359">
        <v>-28922.519999999975</v>
      </c>
      <c r="F102" s="360">
        <v>-29675.599999999977</v>
      </c>
    </row>
    <row r="103" spans="1:6" ht="15.75">
      <c r="A103" s="355">
        <f t="shared" si="4"/>
        <v>0.23000000000000009</v>
      </c>
      <c r="B103" s="180">
        <v>-15643.57999999998</v>
      </c>
      <c r="C103" s="180">
        <v>-25750.839999999975</v>
      </c>
      <c r="D103" s="180">
        <v>-26294.619999999974</v>
      </c>
      <c r="E103" s="359">
        <v>-26922.519999999968</v>
      </c>
      <c r="F103" s="360">
        <v>-27675.599999999969</v>
      </c>
    </row>
    <row r="104" spans="1:6" ht="15.75">
      <c r="A104" s="355">
        <f t="shared" si="4"/>
        <v>0.2400000000000001</v>
      </c>
      <c r="B104" s="180">
        <v>-13643.57999999998</v>
      </c>
      <c r="C104" s="180">
        <v>-23750.839999999975</v>
      </c>
      <c r="D104" s="180">
        <v>-24294.619999999974</v>
      </c>
      <c r="E104" s="359">
        <v>-24922.519999999968</v>
      </c>
      <c r="F104" s="360">
        <v>-25675.599999999969</v>
      </c>
    </row>
    <row r="105" spans="1:6" ht="15.75">
      <c r="A105" s="355">
        <f t="shared" si="4"/>
        <v>0.25000000000000011</v>
      </c>
      <c r="B105" s="180">
        <v>-11643.57999999998</v>
      </c>
      <c r="C105" s="180">
        <v>-21750.839999999975</v>
      </c>
      <c r="D105" s="180">
        <v>-22294.619999999974</v>
      </c>
      <c r="E105" s="359">
        <v>-22922.519999999968</v>
      </c>
      <c r="F105" s="360">
        <v>-23675.599999999969</v>
      </c>
    </row>
    <row r="106" spans="1:6" ht="15.75">
      <c r="A106" s="355">
        <f t="shared" si="4"/>
        <v>0.26000000000000012</v>
      </c>
      <c r="B106" s="180">
        <v>-9643.5799999999799</v>
      </c>
      <c r="C106" s="180">
        <v>-19750.839999999975</v>
      </c>
      <c r="D106" s="180">
        <v>-20294.619999999974</v>
      </c>
      <c r="E106" s="359">
        <v>-20922.519999999968</v>
      </c>
      <c r="F106" s="360">
        <v>-21675.599999999969</v>
      </c>
    </row>
    <row r="107" spans="1:6" ht="15.75">
      <c r="A107" s="355">
        <f t="shared" si="4"/>
        <v>0.27000000000000013</v>
      </c>
      <c r="B107" s="180">
        <v>-7643.5799999999726</v>
      </c>
      <c r="C107" s="180">
        <v>-17750.839999999967</v>
      </c>
      <c r="D107" s="180">
        <v>-18294.619999999966</v>
      </c>
      <c r="E107" s="359">
        <v>-18922.51999999996</v>
      </c>
      <c r="F107" s="360">
        <v>-19675.599999999962</v>
      </c>
    </row>
    <row r="108" spans="1:6" ht="15.75">
      <c r="A108" s="355">
        <f t="shared" si="4"/>
        <v>0.28000000000000014</v>
      </c>
      <c r="B108" s="180">
        <v>-5643.5799999999726</v>
      </c>
      <c r="C108" s="180">
        <v>-15750.839999999967</v>
      </c>
      <c r="D108" s="180">
        <v>-16294.619999999966</v>
      </c>
      <c r="E108" s="359">
        <v>-16922.51999999996</v>
      </c>
      <c r="F108" s="360">
        <v>-17675.599999999962</v>
      </c>
    </row>
    <row r="109" spans="1:6" ht="15.75">
      <c r="A109" s="355">
        <f t="shared" si="4"/>
        <v>0.29000000000000015</v>
      </c>
      <c r="B109" s="180">
        <v>-3643.5799999999726</v>
      </c>
      <c r="C109" s="180">
        <v>-13750.839999999967</v>
      </c>
      <c r="D109" s="180">
        <v>-14294.619999999966</v>
      </c>
      <c r="E109" s="359">
        <v>-14922.51999999996</v>
      </c>
      <c r="F109" s="360">
        <v>-15675.599999999962</v>
      </c>
    </row>
    <row r="110" spans="1:6" ht="15.75">
      <c r="A110" s="355">
        <f t="shared" si="4"/>
        <v>0.30000000000000016</v>
      </c>
      <c r="B110" s="180">
        <v>-1643.5799999999726</v>
      </c>
      <c r="C110" s="180">
        <v>-11750.839999999967</v>
      </c>
      <c r="D110" s="180">
        <v>-12294.619999999966</v>
      </c>
      <c r="E110" s="359">
        <v>-12922.51999999996</v>
      </c>
      <c r="F110" s="360">
        <v>-13675.599999999962</v>
      </c>
    </row>
    <row r="111" spans="1:6" ht="15.75">
      <c r="A111" s="355">
        <f t="shared" si="4"/>
        <v>0.31000000000000016</v>
      </c>
      <c r="B111" s="180">
        <v>356.42000000003463</v>
      </c>
      <c r="C111" s="180">
        <v>-9750.8399999999601</v>
      </c>
      <c r="D111" s="180">
        <v>-10294.619999999959</v>
      </c>
      <c r="E111" s="359">
        <v>-10922.519999999953</v>
      </c>
      <c r="F111" s="360">
        <v>-11675.599999999955</v>
      </c>
    </row>
    <row r="112" spans="1:6" ht="15.75">
      <c r="A112" s="355">
        <f t="shared" si="4"/>
        <v>0.32000000000000017</v>
      </c>
      <c r="B112" s="180">
        <v>2356.4200000000346</v>
      </c>
      <c r="C112" s="180">
        <v>-7750.8399999999601</v>
      </c>
      <c r="D112" s="180">
        <v>-8294.619999999959</v>
      </c>
      <c r="E112" s="359">
        <v>-8922.5199999999531</v>
      </c>
      <c r="F112" s="360">
        <v>-9675.5999999999549</v>
      </c>
    </row>
    <row r="113" spans="1:6" ht="15.75">
      <c r="A113" s="355">
        <f t="shared" si="4"/>
        <v>0.33000000000000018</v>
      </c>
      <c r="B113" s="180">
        <v>4356.4200000000419</v>
      </c>
      <c r="C113" s="180">
        <v>-5750.8399999999529</v>
      </c>
      <c r="D113" s="180">
        <v>-6294.6199999999517</v>
      </c>
      <c r="E113" s="359">
        <v>-6922.5199999999459</v>
      </c>
      <c r="F113" s="360">
        <v>-7675.5999999999476</v>
      </c>
    </row>
    <row r="114" spans="1:6" ht="15.75">
      <c r="A114" s="355">
        <f t="shared" si="4"/>
        <v>0.34000000000000019</v>
      </c>
      <c r="B114" s="180">
        <v>6356.4200000000419</v>
      </c>
      <c r="C114" s="180">
        <v>-3750.8399999999529</v>
      </c>
      <c r="D114" s="180">
        <v>-4294.6199999999517</v>
      </c>
      <c r="E114" s="359">
        <v>-4922.5199999999459</v>
      </c>
      <c r="F114" s="360">
        <v>-5675.5999999999476</v>
      </c>
    </row>
    <row r="115" spans="1:6" ht="15.75">
      <c r="A115" s="355">
        <f t="shared" si="4"/>
        <v>0.3500000000000002</v>
      </c>
      <c r="B115" s="180">
        <v>8356.4200000000419</v>
      </c>
      <c r="C115" s="180">
        <v>-1750.8399999999529</v>
      </c>
      <c r="D115" s="180">
        <v>-2294.6199999999517</v>
      </c>
      <c r="E115" s="359">
        <v>-2922.5199999999459</v>
      </c>
      <c r="F115" s="360">
        <v>-3675.5999999999476</v>
      </c>
    </row>
    <row r="116" spans="1:6" ht="15.75">
      <c r="A116" s="355">
        <f t="shared" si="4"/>
        <v>0.36000000000000021</v>
      </c>
      <c r="B116" s="180">
        <v>10356.420000000042</v>
      </c>
      <c r="C116" s="180">
        <v>249.16000000004715</v>
      </c>
      <c r="D116" s="180">
        <v>-294.61999999995169</v>
      </c>
      <c r="E116" s="359">
        <v>-922.51999999994587</v>
      </c>
      <c r="F116" s="360">
        <v>-1675.5999999999476</v>
      </c>
    </row>
    <row r="117" spans="1:6" ht="15.75">
      <c r="A117" s="355">
        <f t="shared" si="4"/>
        <v>0.37000000000000022</v>
      </c>
      <c r="B117" s="180">
        <v>12356.420000000042</v>
      </c>
      <c r="C117" s="180">
        <v>2249.1600000000471</v>
      </c>
      <c r="D117" s="180">
        <v>1705.3800000000483</v>
      </c>
      <c r="E117" s="359">
        <v>1077.4800000000541</v>
      </c>
      <c r="F117" s="360">
        <v>324.40000000005239</v>
      </c>
    </row>
    <row r="118" spans="1:6" ht="15.75">
      <c r="A118" s="355">
        <f t="shared" si="4"/>
        <v>0.38000000000000023</v>
      </c>
      <c r="B118" s="180">
        <v>14356.420000000042</v>
      </c>
      <c r="C118" s="180">
        <v>4249.1600000000471</v>
      </c>
      <c r="D118" s="180">
        <v>3705.3800000000483</v>
      </c>
      <c r="E118" s="359">
        <v>3077.4800000000541</v>
      </c>
      <c r="F118" s="360">
        <v>2324.4000000000524</v>
      </c>
    </row>
    <row r="119" spans="1:6" ht="15.75">
      <c r="A119" s="355">
        <f t="shared" si="4"/>
        <v>0.39000000000000024</v>
      </c>
      <c r="B119" s="180">
        <v>16356.420000000042</v>
      </c>
      <c r="C119" s="180">
        <v>6249.1600000000471</v>
      </c>
      <c r="D119" s="180">
        <v>5705.3800000000483</v>
      </c>
      <c r="E119" s="359">
        <v>5077.4800000000541</v>
      </c>
      <c r="F119" s="360">
        <v>4324.4000000000524</v>
      </c>
    </row>
    <row r="120" spans="1:6" ht="15.75">
      <c r="A120" s="355">
        <f t="shared" si="4"/>
        <v>0.40000000000000024</v>
      </c>
      <c r="B120" s="180">
        <v>18356.420000000042</v>
      </c>
      <c r="C120" s="180">
        <v>8249.1600000000471</v>
      </c>
      <c r="D120" s="180">
        <v>7705.3800000000483</v>
      </c>
      <c r="E120" s="359">
        <v>7077.4800000000541</v>
      </c>
      <c r="F120" s="360">
        <v>6324.4000000000524</v>
      </c>
    </row>
    <row r="121" spans="1:6" ht="15.75">
      <c r="A121" s="355">
        <f t="shared" si="4"/>
        <v>0.41000000000000025</v>
      </c>
      <c r="B121" s="180">
        <v>20356.420000000042</v>
      </c>
      <c r="C121" s="180">
        <v>10249.160000000047</v>
      </c>
      <c r="D121" s="180">
        <v>9705.3800000000483</v>
      </c>
      <c r="E121" s="359">
        <v>9077.4800000000541</v>
      </c>
      <c r="F121" s="360">
        <v>8324.4000000000524</v>
      </c>
    </row>
    <row r="122" spans="1:6" ht="15.75">
      <c r="A122" s="355">
        <f t="shared" si="4"/>
        <v>0.42000000000000026</v>
      </c>
      <c r="B122" s="180">
        <v>22356.420000000056</v>
      </c>
      <c r="C122" s="180">
        <v>12249.160000000062</v>
      </c>
      <c r="D122" s="180">
        <v>11705.380000000063</v>
      </c>
      <c r="E122" s="359">
        <v>11077.480000000069</v>
      </c>
      <c r="F122" s="360">
        <v>10324.400000000067</v>
      </c>
    </row>
    <row r="123" spans="1:6" ht="15.75">
      <c r="A123" s="355">
        <f t="shared" si="4"/>
        <v>0.43000000000000027</v>
      </c>
      <c r="B123" s="180">
        <v>24356.420000000056</v>
      </c>
      <c r="C123" s="180">
        <v>14249.160000000062</v>
      </c>
      <c r="D123" s="180">
        <v>13705.380000000063</v>
      </c>
      <c r="E123" s="359">
        <v>13077.480000000069</v>
      </c>
      <c r="F123" s="360">
        <v>12324.400000000067</v>
      </c>
    </row>
    <row r="124" spans="1:6" ht="15.75">
      <c r="A124" s="355">
        <f t="shared" si="4"/>
        <v>0.44000000000000028</v>
      </c>
      <c r="B124" s="180">
        <v>26356.420000000056</v>
      </c>
      <c r="C124" s="180">
        <v>16249.160000000062</v>
      </c>
      <c r="D124" s="180">
        <v>15705.380000000063</v>
      </c>
      <c r="E124" s="359">
        <v>15077.480000000069</v>
      </c>
      <c r="F124" s="360">
        <v>14324.400000000067</v>
      </c>
    </row>
    <row r="125" spans="1:6" ht="15.75">
      <c r="A125" s="355">
        <f t="shared" si="4"/>
        <v>0.45000000000000029</v>
      </c>
      <c r="B125" s="180">
        <v>28356.420000000056</v>
      </c>
      <c r="C125" s="180">
        <v>18249.160000000062</v>
      </c>
      <c r="D125" s="180">
        <v>17705.380000000063</v>
      </c>
      <c r="E125" s="359">
        <v>17077.480000000069</v>
      </c>
      <c r="F125" s="360">
        <v>16324.400000000067</v>
      </c>
    </row>
    <row r="126" spans="1:6" ht="15.75">
      <c r="A126" s="355">
        <f>A125+0.01</f>
        <v>0.4600000000000003</v>
      </c>
      <c r="B126" s="180">
        <v>30356.420000000056</v>
      </c>
      <c r="C126" s="180">
        <v>20249.160000000062</v>
      </c>
      <c r="D126" s="180">
        <v>19705.380000000063</v>
      </c>
      <c r="E126" s="359">
        <v>19077.480000000069</v>
      </c>
      <c r="F126" s="360">
        <v>18324.400000000067</v>
      </c>
    </row>
    <row r="127" spans="1:6" ht="15.75">
      <c r="A127" s="355">
        <f>A126+0.01</f>
        <v>0.47000000000000031</v>
      </c>
      <c r="B127" s="180">
        <v>32356.420000000056</v>
      </c>
      <c r="C127" s="180">
        <v>22249.160000000062</v>
      </c>
      <c r="D127" s="180">
        <v>21705.380000000063</v>
      </c>
      <c r="E127" s="359">
        <v>21077.480000000069</v>
      </c>
      <c r="F127" s="360">
        <v>20324.400000000067</v>
      </c>
    </row>
    <row r="128" spans="1:6" ht="15.75">
      <c r="A128" s="355">
        <f>A127+0.01</f>
        <v>0.48000000000000032</v>
      </c>
      <c r="B128" s="180">
        <v>34356.420000000056</v>
      </c>
      <c r="C128" s="180">
        <v>24249.160000000062</v>
      </c>
      <c r="D128" s="180">
        <v>23705.380000000063</v>
      </c>
      <c r="E128" s="359">
        <v>23077.480000000069</v>
      </c>
      <c r="F128" s="360">
        <v>22324.400000000067</v>
      </c>
    </row>
    <row r="129" spans="1:9" ht="15.75">
      <c r="A129" s="355">
        <f>A128+0.01</f>
        <v>0.49000000000000032</v>
      </c>
      <c r="B129" s="180">
        <v>36356.420000000056</v>
      </c>
      <c r="C129" s="180">
        <v>26249.160000000062</v>
      </c>
      <c r="D129" s="180">
        <v>25705.380000000063</v>
      </c>
      <c r="E129" s="359">
        <v>25077.480000000069</v>
      </c>
      <c r="F129" s="360">
        <v>24324.400000000067</v>
      </c>
    </row>
    <row r="130" spans="1:9" ht="15.75">
      <c r="A130" s="356">
        <f>A129+0.01</f>
        <v>0.50000000000000033</v>
      </c>
      <c r="B130" s="181">
        <v>38356.420000000071</v>
      </c>
      <c r="C130" s="181">
        <v>28249.160000000076</v>
      </c>
      <c r="D130" s="181">
        <v>27705.380000000077</v>
      </c>
      <c r="E130" s="361">
        <v>27077.480000000083</v>
      </c>
      <c r="F130" s="362">
        <v>26324.400000000081</v>
      </c>
    </row>
    <row r="131" spans="1:9" ht="15">
      <c r="A131" s="62"/>
      <c r="B131" s="284"/>
      <c r="C131" s="284"/>
      <c r="D131" s="284"/>
      <c r="E131" s="292"/>
      <c r="F131" s="292"/>
    </row>
    <row r="132" spans="1:9" ht="15">
      <c r="A132" s="62"/>
      <c r="B132" s="284"/>
      <c r="C132" s="284"/>
      <c r="D132" s="284"/>
      <c r="E132" s="292"/>
      <c r="F132" s="292"/>
    </row>
    <row r="133" spans="1:9" s="1" customFormat="1" ht="15">
      <c r="A133" s="62"/>
      <c r="B133" s="285"/>
      <c r="C133" s="285"/>
      <c r="D133" s="285"/>
      <c r="E133" s="293"/>
      <c r="F133" s="293"/>
    </row>
    <row r="134" spans="1:9" s="1" customFormat="1" ht="15">
      <c r="A134" s="67"/>
      <c r="B134" s="286"/>
      <c r="C134" s="286"/>
      <c r="D134" s="286"/>
      <c r="E134" s="72"/>
      <c r="F134" s="72"/>
      <c r="G134" s="42"/>
      <c r="H134" s="42"/>
      <c r="I134" s="42"/>
    </row>
    <row r="135" spans="1:9" s="1" customFormat="1" ht="15">
      <c r="A135" s="67"/>
      <c r="B135" s="298"/>
      <c r="C135" s="72"/>
      <c r="D135" s="72"/>
      <c r="E135" s="72"/>
      <c r="F135" s="72"/>
      <c r="G135" s="42"/>
      <c r="H135" s="42"/>
      <c r="I135" s="42"/>
    </row>
    <row r="136" spans="1:9" s="1" customFormat="1" ht="15">
      <c r="A136" s="68"/>
      <c r="B136" s="69"/>
      <c r="C136" s="69"/>
      <c r="D136" s="69"/>
      <c r="E136" s="69"/>
      <c r="F136" s="69"/>
      <c r="G136" s="69"/>
      <c r="H136" s="69"/>
      <c r="I136" s="69"/>
    </row>
    <row r="137" spans="1:9" s="1" customFormat="1" ht="15">
      <c r="A137" s="62"/>
      <c r="B137" s="287"/>
      <c r="C137" s="287"/>
      <c r="D137" s="287"/>
      <c r="E137" s="287"/>
      <c r="F137" s="287"/>
      <c r="G137" s="70"/>
      <c r="H137" s="70"/>
      <c r="I137" s="70"/>
    </row>
    <row r="138" spans="1:9" s="1" customFormat="1" ht="15">
      <c r="A138" s="62"/>
      <c r="B138" s="287"/>
      <c r="C138" s="287"/>
      <c r="D138" s="287"/>
      <c r="E138" s="287"/>
      <c r="F138" s="287"/>
      <c r="G138" s="70"/>
      <c r="H138" s="70"/>
      <c r="I138" s="70"/>
    </row>
    <row r="139" spans="1:9" s="1" customFormat="1" ht="15">
      <c r="A139" s="62"/>
      <c r="B139" s="287"/>
      <c r="C139" s="287"/>
      <c r="D139" s="287"/>
      <c r="E139" s="287"/>
      <c r="F139" s="287"/>
      <c r="G139" s="70"/>
      <c r="H139" s="70"/>
      <c r="I139" s="70"/>
    </row>
    <row r="140" spans="1:9" s="1" customFormat="1" ht="15">
      <c r="A140" s="62"/>
      <c r="B140" s="287"/>
      <c r="C140" s="287"/>
      <c r="D140" s="287"/>
      <c r="E140" s="287"/>
      <c r="F140" s="287"/>
      <c r="G140" s="70"/>
      <c r="H140" s="70"/>
      <c r="I140" s="70"/>
    </row>
    <row r="141" spans="1:9" s="1" customFormat="1" ht="15">
      <c r="A141" s="62"/>
      <c r="B141" s="287"/>
      <c r="C141" s="287"/>
      <c r="D141" s="287"/>
      <c r="E141" s="287"/>
      <c r="F141" s="287"/>
      <c r="G141" s="70"/>
      <c r="H141" s="70"/>
      <c r="I141" s="70"/>
    </row>
    <row r="142" spans="1:9" s="1" customFormat="1" ht="15">
      <c r="A142" s="62"/>
      <c r="B142" s="287"/>
      <c r="C142" s="287"/>
      <c r="D142" s="287"/>
      <c r="E142" s="287"/>
      <c r="F142" s="287"/>
      <c r="G142" s="70"/>
      <c r="H142" s="70"/>
      <c r="I142" s="70"/>
    </row>
    <row r="143" spans="1:9" s="1" customFormat="1" ht="15">
      <c r="A143" s="62"/>
      <c r="B143" s="287"/>
      <c r="C143" s="287"/>
      <c r="D143" s="287"/>
      <c r="E143" s="287"/>
      <c r="F143" s="287"/>
      <c r="G143" s="70"/>
      <c r="H143" s="70"/>
      <c r="I143" s="70"/>
    </row>
    <row r="144" spans="1:9" s="1" customFormat="1" ht="15">
      <c r="A144" s="62"/>
      <c r="B144" s="287"/>
      <c r="C144" s="287"/>
      <c r="D144" s="287"/>
      <c r="E144" s="287"/>
      <c r="F144" s="287"/>
      <c r="G144" s="70"/>
      <c r="H144" s="70"/>
      <c r="I144" s="70"/>
    </row>
    <row r="145" spans="1:12" s="1" customFormat="1" ht="15">
      <c r="A145" s="62"/>
      <c r="B145" s="287"/>
      <c r="C145" s="287"/>
      <c r="D145" s="287"/>
      <c r="E145" s="287"/>
      <c r="F145" s="287"/>
      <c r="G145" s="70"/>
      <c r="H145" s="70"/>
      <c r="I145" s="70"/>
    </row>
    <row r="146" spans="1:12" s="1" customFormat="1" ht="15">
      <c r="A146" s="62"/>
      <c r="B146" s="287"/>
      <c r="C146" s="287"/>
      <c r="D146" s="287"/>
      <c r="E146" s="287"/>
      <c r="F146" s="287"/>
      <c r="G146" s="70"/>
      <c r="H146" s="70"/>
      <c r="I146" s="70"/>
    </row>
    <row r="147" spans="1:12" s="1" customFormat="1" ht="15">
      <c r="A147" s="62"/>
      <c r="B147" s="287"/>
      <c r="C147" s="287"/>
      <c r="D147" s="287"/>
      <c r="E147" s="287"/>
      <c r="F147" s="287"/>
      <c r="G147" s="70"/>
      <c r="H147" s="70"/>
      <c r="I147" s="70"/>
    </row>
    <row r="148" spans="1:12" s="1" customFormat="1" ht="15">
      <c r="A148" s="62"/>
      <c r="B148" s="288"/>
      <c r="C148" s="288"/>
      <c r="D148" s="288"/>
      <c r="E148" s="288"/>
      <c r="F148" s="288"/>
      <c r="G148" s="71"/>
      <c r="H148" s="71"/>
      <c r="I148" s="71"/>
    </row>
    <row r="149" spans="1:12" s="1" customFormat="1" ht="15">
      <c r="A149" s="62"/>
      <c r="B149" s="288"/>
      <c r="C149" s="288"/>
      <c r="D149" s="288"/>
      <c r="E149" s="288"/>
      <c r="F149" s="288"/>
      <c r="G149" s="71"/>
      <c r="H149" s="71"/>
      <c r="I149" s="71"/>
    </row>
    <row r="150" spans="1:12" s="1" customFormat="1" ht="15">
      <c r="A150" s="62"/>
      <c r="B150" s="288"/>
      <c r="C150" s="288"/>
      <c r="D150" s="288"/>
      <c r="E150" s="288"/>
      <c r="F150" s="288"/>
      <c r="G150" s="71"/>
      <c r="H150" s="71"/>
      <c r="I150" s="71"/>
    </row>
    <row r="151" spans="1:12" s="1" customFormat="1" ht="15">
      <c r="A151" s="62"/>
      <c r="B151" s="288"/>
      <c r="C151" s="288"/>
      <c r="D151" s="288"/>
      <c r="E151" s="288"/>
      <c r="F151" s="288"/>
      <c r="G151" s="71"/>
      <c r="H151" s="71"/>
      <c r="I151" s="71"/>
    </row>
    <row r="152" spans="1:12" s="1" customFormat="1" ht="15">
      <c r="A152" s="62"/>
      <c r="B152" s="288"/>
      <c r="C152" s="288"/>
      <c r="D152" s="288"/>
      <c r="E152" s="288"/>
      <c r="F152" s="288"/>
      <c r="G152" s="71"/>
      <c r="H152" s="71"/>
      <c r="I152" s="71"/>
    </row>
    <row r="153" spans="1:12" s="1" customFormat="1" ht="15">
      <c r="A153" s="62"/>
      <c r="B153" s="288"/>
      <c r="C153" s="288"/>
      <c r="D153" s="288"/>
      <c r="E153" s="288"/>
      <c r="F153" s="288"/>
      <c r="G153" s="71"/>
      <c r="H153" s="71"/>
      <c r="I153" s="71"/>
    </row>
    <row r="154" spans="1:12" s="1" customFormat="1" ht="15">
      <c r="A154" s="62"/>
      <c r="B154" s="288"/>
      <c r="C154" s="288"/>
      <c r="D154" s="288"/>
      <c r="E154" s="288"/>
      <c r="F154" s="288"/>
      <c r="G154" s="71"/>
      <c r="H154" s="71"/>
      <c r="I154" s="71"/>
    </row>
    <row r="155" spans="1:12" s="1" customFormat="1" ht="15">
      <c r="A155" s="62"/>
      <c r="B155" s="288"/>
      <c r="C155" s="288"/>
      <c r="D155" s="288"/>
      <c r="E155" s="288"/>
      <c r="F155" s="288"/>
      <c r="G155" s="71"/>
      <c r="H155" s="71"/>
      <c r="I155" s="71"/>
    </row>
    <row r="156" spans="1:12" s="1" customFormat="1" ht="15">
      <c r="A156" s="62"/>
      <c r="B156" s="288"/>
      <c r="C156" s="288"/>
      <c r="D156" s="288"/>
      <c r="E156" s="288"/>
      <c r="F156" s="288"/>
      <c r="G156" s="71"/>
      <c r="H156" s="71"/>
      <c r="I156" s="71"/>
    </row>
    <row r="157" spans="1:12" s="1" customFormat="1" ht="15">
      <c r="A157" s="62"/>
      <c r="B157" s="288"/>
      <c r="C157" s="288"/>
      <c r="D157" s="288"/>
      <c r="E157" s="288"/>
      <c r="F157" s="288"/>
      <c r="G157" s="71"/>
      <c r="H157" s="71"/>
      <c r="I157" s="71"/>
    </row>
    <row r="158" spans="1:12" s="1" customFormat="1">
      <c r="B158" s="183"/>
      <c r="C158" s="183"/>
      <c r="D158" s="183"/>
      <c r="E158" s="183"/>
      <c r="F158" s="183"/>
    </row>
    <row r="159" spans="1:12" s="1" customFormat="1">
      <c r="B159" s="183"/>
      <c r="C159" s="183"/>
      <c r="D159" s="183"/>
      <c r="E159" s="183"/>
      <c r="F159" s="183"/>
    </row>
    <row r="160" spans="1:12" s="1" customFormat="1" ht="15">
      <c r="A160" s="67"/>
      <c r="B160" s="72"/>
      <c r="C160" s="72"/>
      <c r="D160" s="72"/>
      <c r="E160" s="72"/>
      <c r="F160" s="72"/>
      <c r="G160" s="42"/>
      <c r="H160" s="42"/>
      <c r="I160" s="42"/>
      <c r="J160" s="42"/>
      <c r="K160" s="42"/>
      <c r="L160" s="42"/>
    </row>
    <row r="161" spans="1:12" s="1" customFormat="1" ht="15">
      <c r="A161" s="67"/>
      <c r="B161" s="299"/>
      <c r="C161" s="72"/>
      <c r="D161" s="72"/>
      <c r="E161" s="72"/>
      <c r="F161" s="72"/>
      <c r="G161" s="42"/>
      <c r="H161" s="42"/>
      <c r="I161" s="42"/>
      <c r="J161" s="42"/>
      <c r="K161" s="42"/>
      <c r="L161" s="42"/>
    </row>
    <row r="162" spans="1:12" s="1" customFormat="1" ht="14.25">
      <c r="A162" s="68"/>
      <c r="B162" s="72"/>
      <c r="C162" s="72"/>
      <c r="D162" s="72"/>
      <c r="E162" s="72"/>
      <c r="F162" s="72"/>
      <c r="G162" s="72"/>
      <c r="H162" s="72"/>
      <c r="I162" s="72"/>
      <c r="J162" s="72"/>
      <c r="K162" s="72"/>
      <c r="L162" s="72"/>
    </row>
    <row r="163" spans="1:12" s="1" customFormat="1" ht="14.25">
      <c r="A163" s="73"/>
      <c r="B163" s="289"/>
      <c r="C163" s="289"/>
      <c r="D163" s="289"/>
      <c r="E163" s="289"/>
      <c r="F163" s="289"/>
      <c r="G163" s="74"/>
      <c r="H163" s="74"/>
      <c r="I163" s="74"/>
      <c r="J163" s="74"/>
      <c r="K163" s="74"/>
      <c r="L163" s="74"/>
    </row>
    <row r="164" spans="1:12" s="1" customFormat="1" ht="14.25">
      <c r="A164" s="73"/>
      <c r="B164" s="289"/>
      <c r="C164" s="289"/>
      <c r="D164" s="289"/>
      <c r="E164" s="289"/>
      <c r="F164" s="289"/>
      <c r="G164" s="74"/>
      <c r="H164" s="74"/>
      <c r="I164" s="74"/>
      <c r="J164" s="74"/>
      <c r="K164" s="74"/>
      <c r="L164" s="74"/>
    </row>
    <row r="165" spans="1:12" s="1" customFormat="1" ht="14.25">
      <c r="A165" s="73"/>
      <c r="B165" s="289"/>
      <c r="C165" s="289"/>
      <c r="D165" s="289"/>
      <c r="E165" s="289"/>
      <c r="F165" s="289"/>
      <c r="G165" s="74"/>
      <c r="H165" s="74"/>
      <c r="I165" s="74"/>
      <c r="J165" s="74"/>
      <c r="K165" s="74"/>
      <c r="L165" s="74"/>
    </row>
    <row r="166" spans="1:12" s="1" customFormat="1" ht="14.25">
      <c r="A166" s="73"/>
      <c r="B166" s="289"/>
      <c r="C166" s="289"/>
      <c r="D166" s="289"/>
      <c r="E166" s="289"/>
      <c r="F166" s="289"/>
      <c r="G166" s="74"/>
      <c r="H166" s="74"/>
      <c r="I166" s="74"/>
      <c r="J166" s="74"/>
      <c r="K166" s="74"/>
      <c r="L166" s="74"/>
    </row>
    <row r="167" spans="1:12" s="1" customFormat="1" ht="14.25">
      <c r="A167" s="73"/>
      <c r="B167" s="289"/>
      <c r="C167" s="289"/>
      <c r="D167" s="289"/>
      <c r="E167" s="289"/>
      <c r="F167" s="289"/>
      <c r="G167" s="74"/>
      <c r="H167" s="74"/>
      <c r="I167" s="74"/>
      <c r="J167" s="74"/>
      <c r="K167" s="74"/>
      <c r="L167" s="74"/>
    </row>
    <row r="168" spans="1:12" s="1" customFormat="1" ht="14.25">
      <c r="A168" s="73"/>
      <c r="B168" s="289"/>
      <c r="C168" s="289"/>
      <c r="D168" s="289"/>
      <c r="E168" s="289"/>
      <c r="F168" s="289"/>
      <c r="G168" s="74"/>
      <c r="H168" s="74"/>
      <c r="I168" s="74"/>
      <c r="J168" s="74"/>
      <c r="K168" s="74"/>
      <c r="L168" s="74"/>
    </row>
    <row r="169" spans="1:12" s="1" customFormat="1" ht="14.25">
      <c r="A169" s="73"/>
      <c r="B169" s="289"/>
      <c r="C169" s="289"/>
      <c r="D169" s="289"/>
      <c r="E169" s="289"/>
      <c r="F169" s="289"/>
      <c r="G169" s="74"/>
      <c r="H169" s="74"/>
      <c r="I169" s="74"/>
      <c r="J169" s="74"/>
      <c r="K169" s="74"/>
      <c r="L169" s="74"/>
    </row>
    <row r="170" spans="1:12" s="1" customFormat="1" ht="14.25">
      <c r="A170" s="73"/>
      <c r="B170" s="289"/>
      <c r="C170" s="289"/>
      <c r="D170" s="289"/>
      <c r="E170" s="289"/>
      <c r="F170" s="289"/>
      <c r="G170" s="74"/>
      <c r="H170" s="74"/>
      <c r="I170" s="74"/>
      <c r="J170" s="74"/>
      <c r="K170" s="74"/>
      <c r="L170" s="74"/>
    </row>
    <row r="171" spans="1:12" s="1" customFormat="1" ht="14.25">
      <c r="A171" s="73"/>
      <c r="B171" s="289"/>
      <c r="C171" s="289"/>
      <c r="D171" s="289"/>
      <c r="E171" s="289"/>
      <c r="F171" s="289"/>
      <c r="G171" s="74"/>
      <c r="H171" s="74"/>
      <c r="I171" s="74"/>
      <c r="J171" s="74"/>
      <c r="K171" s="74"/>
      <c r="L171" s="74"/>
    </row>
    <row r="172" spans="1:12" s="1" customFormat="1" ht="14.25">
      <c r="A172" s="73"/>
      <c r="B172" s="289"/>
      <c r="C172" s="289"/>
      <c r="D172" s="289"/>
      <c r="E172" s="289"/>
      <c r="F172" s="289"/>
      <c r="G172" s="74"/>
      <c r="H172" s="74"/>
      <c r="I172" s="74"/>
      <c r="J172" s="74"/>
      <c r="K172" s="74"/>
      <c r="L172" s="74"/>
    </row>
    <row r="173" spans="1:12" s="1" customFormat="1" ht="14.25">
      <c r="A173" s="73"/>
      <c r="B173" s="289"/>
      <c r="C173" s="289"/>
      <c r="D173" s="289"/>
      <c r="E173" s="289"/>
      <c r="F173" s="289"/>
      <c r="G173" s="74"/>
      <c r="H173" s="74"/>
      <c r="I173" s="74"/>
      <c r="J173" s="74"/>
      <c r="K173" s="74"/>
      <c r="L173" s="74"/>
    </row>
    <row r="174" spans="1:12" s="1" customFormat="1" ht="14.25">
      <c r="A174" s="73"/>
      <c r="B174" s="289"/>
      <c r="C174" s="289"/>
      <c r="D174" s="289"/>
      <c r="E174" s="289"/>
      <c r="F174" s="289"/>
      <c r="G174" s="74"/>
      <c r="H174" s="74"/>
      <c r="I174" s="74"/>
      <c r="J174" s="74"/>
      <c r="K174" s="74"/>
      <c r="L174" s="74"/>
    </row>
    <row r="175" spans="1:12" s="1" customFormat="1" ht="14.25">
      <c r="A175" s="73"/>
      <c r="B175" s="289"/>
      <c r="C175" s="289"/>
      <c r="D175" s="289"/>
      <c r="E175" s="289"/>
      <c r="F175" s="289"/>
      <c r="G175" s="74"/>
      <c r="H175" s="74"/>
      <c r="I175" s="74"/>
      <c r="J175" s="74"/>
      <c r="K175" s="74"/>
      <c r="L175" s="74"/>
    </row>
    <row r="176" spans="1:12" s="1" customFormat="1" ht="14.25">
      <c r="A176" s="73"/>
      <c r="B176" s="289"/>
      <c r="C176" s="289"/>
      <c r="D176" s="289"/>
      <c r="E176" s="289"/>
      <c r="F176" s="289"/>
      <c r="G176" s="74"/>
      <c r="H176" s="74"/>
      <c r="I176" s="74"/>
      <c r="J176" s="74"/>
      <c r="K176" s="74"/>
      <c r="L176" s="74"/>
    </row>
    <row r="177" spans="1:12" s="1" customFormat="1" ht="14.25">
      <c r="A177" s="73"/>
      <c r="B177" s="289"/>
      <c r="C177" s="289"/>
      <c r="D177" s="289"/>
      <c r="E177" s="289"/>
      <c r="F177" s="289"/>
      <c r="G177" s="74"/>
      <c r="H177" s="74"/>
      <c r="I177" s="74"/>
      <c r="J177" s="74"/>
      <c r="K177" s="74"/>
      <c r="L177" s="74"/>
    </row>
    <row r="178" spans="1:12" s="1" customFormat="1" ht="14.25">
      <c r="A178" s="73"/>
      <c r="B178" s="289"/>
      <c r="C178" s="289"/>
      <c r="D178" s="289"/>
      <c r="E178" s="289"/>
      <c r="F178" s="289"/>
      <c r="G178" s="74"/>
      <c r="H178" s="74"/>
      <c r="I178" s="74"/>
      <c r="J178" s="74"/>
      <c r="K178" s="74"/>
      <c r="L178" s="74"/>
    </row>
    <row r="179" spans="1:12" s="1" customFormat="1" ht="14.25">
      <c r="A179" s="73"/>
      <c r="B179" s="289"/>
      <c r="C179" s="289"/>
      <c r="D179" s="289"/>
      <c r="E179" s="289"/>
      <c r="F179" s="289"/>
      <c r="G179" s="74"/>
      <c r="H179" s="74"/>
      <c r="I179" s="74"/>
      <c r="J179" s="74"/>
      <c r="K179" s="74"/>
      <c r="L179" s="74"/>
    </row>
    <row r="180" spans="1:12" s="1" customFormat="1" ht="14.25">
      <c r="A180" s="73"/>
      <c r="B180" s="289"/>
      <c r="C180" s="289"/>
      <c r="D180" s="289"/>
      <c r="E180" s="289"/>
      <c r="F180" s="289"/>
      <c r="G180" s="74"/>
      <c r="H180" s="74"/>
      <c r="I180" s="74"/>
      <c r="J180" s="74"/>
      <c r="K180" s="74"/>
      <c r="L180" s="74"/>
    </row>
    <row r="181" spans="1:12" s="1" customFormat="1" ht="14.25">
      <c r="A181" s="73"/>
      <c r="B181" s="289"/>
      <c r="C181" s="289"/>
      <c r="D181" s="289"/>
      <c r="E181" s="289"/>
      <c r="F181" s="289"/>
      <c r="G181" s="74"/>
      <c r="H181" s="74"/>
      <c r="I181" s="74"/>
      <c r="J181" s="74"/>
      <c r="K181" s="74"/>
      <c r="L181" s="74"/>
    </row>
    <row r="182" spans="1:12" s="1" customFormat="1" ht="14.25">
      <c r="A182" s="73"/>
      <c r="B182" s="289"/>
      <c r="C182" s="289"/>
      <c r="D182" s="289"/>
      <c r="E182" s="289"/>
      <c r="F182" s="289"/>
      <c r="G182" s="74"/>
      <c r="H182" s="74"/>
      <c r="I182" s="74"/>
      <c r="J182" s="74"/>
      <c r="K182" s="74"/>
      <c r="L182" s="74"/>
    </row>
    <row r="183" spans="1:12" s="1" customFormat="1" ht="14.25">
      <c r="A183" s="73"/>
      <c r="B183" s="289"/>
      <c r="C183" s="289"/>
      <c r="D183" s="289"/>
      <c r="E183" s="289"/>
      <c r="F183" s="289"/>
      <c r="G183" s="74"/>
      <c r="H183" s="74"/>
      <c r="I183" s="74"/>
      <c r="J183" s="74"/>
      <c r="K183" s="74"/>
      <c r="L183" s="74"/>
    </row>
    <row r="184" spans="1:12" s="1" customFormat="1" ht="14.25">
      <c r="A184" s="73"/>
      <c r="B184" s="289"/>
      <c r="C184" s="289"/>
      <c r="D184" s="289"/>
      <c r="E184" s="289"/>
      <c r="F184" s="289"/>
      <c r="G184" s="74"/>
      <c r="H184" s="74"/>
      <c r="I184" s="74"/>
      <c r="J184" s="74"/>
      <c r="K184" s="74"/>
      <c r="L184" s="74"/>
    </row>
    <row r="185" spans="1:12" s="1" customFormat="1" ht="14.25">
      <c r="A185" s="73"/>
      <c r="B185" s="289"/>
      <c r="C185" s="289"/>
      <c r="D185" s="289"/>
      <c r="E185" s="289"/>
      <c r="F185" s="289"/>
      <c r="G185" s="74"/>
      <c r="H185" s="74"/>
      <c r="I185" s="74"/>
      <c r="J185" s="74"/>
      <c r="K185" s="74"/>
      <c r="L185" s="74"/>
    </row>
    <row r="186" spans="1:12" s="1" customFormat="1" ht="14.25">
      <c r="A186" s="73"/>
      <c r="B186" s="289"/>
      <c r="C186" s="289"/>
      <c r="D186" s="289"/>
      <c r="E186" s="289"/>
      <c r="F186" s="289"/>
      <c r="G186" s="74"/>
      <c r="H186" s="74"/>
      <c r="I186" s="74"/>
      <c r="J186" s="74"/>
      <c r="K186" s="74"/>
      <c r="L186" s="74"/>
    </row>
    <row r="187" spans="1:12" s="1" customFormat="1" ht="14.25">
      <c r="A187" s="73"/>
      <c r="B187" s="289"/>
      <c r="C187" s="289"/>
      <c r="D187" s="289"/>
      <c r="E187" s="289"/>
      <c r="F187" s="289"/>
      <c r="G187" s="74"/>
      <c r="H187" s="74"/>
      <c r="I187" s="74"/>
      <c r="J187" s="74"/>
      <c r="K187" s="74"/>
      <c r="L187" s="74"/>
    </row>
    <row r="188" spans="1:12" s="1" customFormat="1">
      <c r="B188" s="183"/>
      <c r="C188" s="183"/>
      <c r="D188" s="183"/>
      <c r="E188" s="183"/>
      <c r="F188" s="183"/>
    </row>
  </sheetData>
  <mergeCells count="12">
    <mergeCell ref="B88:F88"/>
    <mergeCell ref="E14:F14"/>
    <mergeCell ref="A2:F2"/>
    <mergeCell ref="A3:F3"/>
    <mergeCell ref="A7:F7"/>
    <mergeCell ref="A5:F5"/>
    <mergeCell ref="D4:F4"/>
    <mergeCell ref="A86:F86"/>
    <mergeCell ref="A85:F85"/>
    <mergeCell ref="A87:F87"/>
    <mergeCell ref="D12:E12"/>
    <mergeCell ref="D9:E9"/>
  </mergeCells>
  <phoneticPr fontId="15" type="noConversion"/>
  <pageMargins left="0.7" right="0.7" top="0.75" bottom="0.75" header="0.3" footer="0.3"/>
  <pageSetup scale="46" orientation="portrait" r:id="rId1"/>
  <headerFooter>
    <oddHeader>&amp;C&amp;"Arial,Bold"&amp;16Small-Scale Cultchless Oyster Crop Budgets: Oyster Crop Budget Worksheet</oddHeader>
  </headerFooter>
  <rowBreaks count="1" manualBreakCount="1">
    <brk id="84" max="5" man="1"/>
  </rowBreaks>
  <colBreaks count="1" manualBreakCount="1">
    <brk id="6" max="140" man="1"/>
  </colBreaks>
  <ignoredErrors>
    <ignoredError sqref="E22:F22" formula="1"/>
    <ignoredError sqref="C21:C22 C25:D26 D30:D31 C24 D41 E65 E67 C71" unlockedFormula="1"/>
  </ignoredErrors>
  <drawing r:id="rId2"/>
  <legacyDrawing r:id="rId3"/>
  <extLst>
    <ext xmlns:mx="http://schemas.microsoft.com/office/mac/excel/2008/main" uri="{64002731-A6B0-56B0-2670-7721B7C09600}">
      <mx:PLV Mode="1" OnePage="0" WScale="48"/>
    </ext>
  </extLst>
</worksheet>
</file>

<file path=xl/worksheets/sheet3.xml><?xml version="1.0" encoding="utf-8"?>
<worksheet xmlns="http://schemas.openxmlformats.org/spreadsheetml/2006/main" xmlns:r="http://schemas.openxmlformats.org/officeDocument/2006/relationships">
  <sheetPr enableFormatConditionsCalculation="0">
    <pageSetUpPr fitToPage="1"/>
  </sheetPr>
  <dimension ref="A1:S84"/>
  <sheetViews>
    <sheetView view="pageLayout" workbookViewId="0">
      <selection activeCell="A39" sqref="A39"/>
    </sheetView>
  </sheetViews>
  <sheetFormatPr defaultColWidth="8.85546875" defaultRowHeight="12.75"/>
  <cols>
    <col min="1" max="1" width="28.28515625" style="7" customWidth="1"/>
    <col min="2" max="2" width="24.42578125" style="7" customWidth="1"/>
    <col min="3" max="3" width="15.85546875" style="10" customWidth="1"/>
    <col min="4" max="4" width="15.42578125" style="2" customWidth="1"/>
    <col min="5" max="5" width="22.7109375" style="2" customWidth="1"/>
    <col min="6" max="6" width="18.42578125" style="2" bestFit="1" customWidth="1"/>
    <col min="7" max="7" width="18.7109375" style="2" bestFit="1" customWidth="1"/>
    <col min="8" max="8" width="18.42578125" style="2" bestFit="1" customWidth="1"/>
    <col min="9" max="9" width="15.7109375" style="2" bestFit="1" customWidth="1"/>
    <col min="10" max="10" width="15.7109375" style="2" customWidth="1"/>
    <col min="11" max="11" width="22.85546875" style="2" bestFit="1" customWidth="1"/>
    <col min="12" max="16384" width="8.85546875" style="2"/>
  </cols>
  <sheetData>
    <row r="1" spans="1:19" ht="21.75" customHeight="1">
      <c r="A1" s="165"/>
      <c r="B1" s="166"/>
    </row>
    <row r="2" spans="1:19" ht="15.75">
      <c r="A2" s="173" t="s">
        <v>8</v>
      </c>
      <c r="B2" s="80"/>
      <c r="C2" s="81"/>
      <c r="D2" s="82"/>
      <c r="E2" s="1"/>
      <c r="F2" s="1"/>
      <c r="G2" s="1"/>
      <c r="H2" s="1"/>
      <c r="I2" s="1"/>
      <c r="J2" s="1"/>
      <c r="K2" s="1"/>
      <c r="L2" s="1"/>
      <c r="M2" s="1"/>
      <c r="N2" s="1"/>
      <c r="O2" s="1"/>
      <c r="P2" s="1"/>
      <c r="Q2" s="1"/>
      <c r="R2" s="1"/>
      <c r="S2" s="1"/>
    </row>
    <row r="3" spans="1:19" s="1" customFormat="1" ht="36">
      <c r="A3" s="83" t="s">
        <v>18</v>
      </c>
      <c r="B3" s="75"/>
      <c r="C3" s="84"/>
      <c r="D3" s="85"/>
    </row>
    <row r="4" spans="1:19">
      <c r="A4" s="6"/>
      <c r="B4" s="6"/>
      <c r="C4" s="9"/>
      <c r="D4" s="4"/>
    </row>
    <row r="5" spans="1:19">
      <c r="A5" s="6"/>
      <c r="B5" s="6"/>
      <c r="C5" s="9"/>
      <c r="D5" s="4"/>
    </row>
    <row r="6" spans="1:19" ht="13.5" thickBot="1">
      <c r="A6" s="6"/>
      <c r="B6" s="6"/>
      <c r="C6" s="9"/>
      <c r="D6" s="4"/>
    </row>
    <row r="7" spans="1:19" ht="18.95" customHeight="1">
      <c r="A7" s="418" t="s">
        <v>25</v>
      </c>
      <c r="B7" s="214"/>
      <c r="C7" s="415" t="s">
        <v>187</v>
      </c>
      <c r="D7" s="416"/>
      <c r="E7" s="416"/>
      <c r="F7" s="416"/>
      <c r="G7" s="417"/>
      <c r="H7" s="121"/>
      <c r="I7" s="77"/>
      <c r="J7" s="77"/>
      <c r="K7" s="77"/>
    </row>
    <row r="8" spans="1:19" ht="23.1" customHeight="1">
      <c r="A8" s="419"/>
      <c r="B8" s="17"/>
      <c r="C8" s="413" t="s">
        <v>186</v>
      </c>
      <c r="D8" s="413"/>
      <c r="E8" s="413"/>
      <c r="F8" s="413"/>
      <c r="G8" s="414"/>
      <c r="H8" s="121"/>
      <c r="I8" s="77"/>
      <c r="J8" s="77"/>
      <c r="K8" s="77"/>
    </row>
    <row r="9" spans="1:19" s="7" customFormat="1" ht="39" customHeight="1">
      <c r="A9" s="215"/>
      <c r="B9" s="216" t="s">
        <v>28</v>
      </c>
      <c r="C9" s="217" t="s">
        <v>188</v>
      </c>
      <c r="D9" s="218" t="s">
        <v>189</v>
      </c>
      <c r="E9" s="219" t="s">
        <v>190</v>
      </c>
      <c r="F9" s="377" t="s">
        <v>28</v>
      </c>
      <c r="G9" s="220" t="s">
        <v>38</v>
      </c>
      <c r="H9" s="12"/>
      <c r="I9" s="12"/>
      <c r="J9" s="64"/>
      <c r="K9" s="12"/>
    </row>
    <row r="10" spans="1:19" ht="14.25" customHeight="1">
      <c r="A10" s="215"/>
      <c r="B10" s="335" t="s">
        <v>29</v>
      </c>
      <c r="C10" s="336">
        <v>0</v>
      </c>
      <c r="D10" s="336">
        <v>960</v>
      </c>
      <c r="E10" s="337">
        <f>SUM(C10:D10)</f>
        <v>960</v>
      </c>
      <c r="F10" s="378" t="s">
        <v>29</v>
      </c>
      <c r="G10" s="338" t="s">
        <v>124</v>
      </c>
      <c r="H10" s="121"/>
      <c r="I10" s="121"/>
      <c r="J10" s="121"/>
      <c r="K10" s="1"/>
    </row>
    <row r="11" spans="1:19" ht="14.25" customHeight="1">
      <c r="A11" s="215"/>
      <c r="B11" s="335" t="s">
        <v>30</v>
      </c>
      <c r="C11" s="336">
        <v>2080</v>
      </c>
      <c r="D11" s="336">
        <v>0</v>
      </c>
      <c r="E11" s="337">
        <f>SUM(C11:D11)</f>
        <v>2080</v>
      </c>
      <c r="F11" s="378" t="s">
        <v>30</v>
      </c>
      <c r="G11" s="338" t="s">
        <v>125</v>
      </c>
      <c r="H11" s="121"/>
      <c r="I11" s="121"/>
      <c r="J11" s="121"/>
      <c r="K11" s="1"/>
    </row>
    <row r="12" spans="1:19" ht="14.25" customHeight="1">
      <c r="A12" s="215"/>
      <c r="B12" s="335" t="s">
        <v>31</v>
      </c>
      <c r="C12" s="336">
        <v>2080</v>
      </c>
      <c r="D12" s="336">
        <v>960</v>
      </c>
      <c r="E12" s="337">
        <f>SUM(C12:D12)</f>
        <v>3040</v>
      </c>
      <c r="F12" s="378" t="s">
        <v>31</v>
      </c>
      <c r="G12" s="338" t="s">
        <v>126</v>
      </c>
      <c r="H12" s="121"/>
      <c r="I12" s="121"/>
      <c r="J12" s="121"/>
      <c r="K12" s="1"/>
    </row>
    <row r="13" spans="1:19" ht="14.25" customHeight="1">
      <c r="A13" s="215"/>
      <c r="B13" s="335" t="s">
        <v>32</v>
      </c>
      <c r="C13" s="336">
        <v>2080</v>
      </c>
      <c r="D13" s="336">
        <f>960*2</f>
        <v>1920</v>
      </c>
      <c r="E13" s="337">
        <f>SUM(C13:D13)</f>
        <v>4000</v>
      </c>
      <c r="F13" s="378" t="s">
        <v>32</v>
      </c>
      <c r="G13" s="338" t="s">
        <v>127</v>
      </c>
      <c r="H13" s="121"/>
      <c r="I13" s="121"/>
      <c r="J13" s="121"/>
      <c r="K13" s="1"/>
    </row>
    <row r="14" spans="1:19" ht="14.25" customHeight="1" thickBot="1">
      <c r="A14" s="221"/>
      <c r="B14" s="332" t="s">
        <v>33</v>
      </c>
      <c r="C14" s="339">
        <f>2*2080</f>
        <v>4160</v>
      </c>
      <c r="D14" s="339">
        <v>960</v>
      </c>
      <c r="E14" s="340">
        <f>SUM(C14:D14)</f>
        <v>5120</v>
      </c>
      <c r="F14" s="379" t="s">
        <v>33</v>
      </c>
      <c r="G14" s="341" t="s">
        <v>128</v>
      </c>
      <c r="H14" s="121"/>
      <c r="I14" s="121"/>
      <c r="J14" s="121"/>
      <c r="K14" s="1"/>
    </row>
    <row r="15" spans="1:19" ht="14.25" customHeight="1">
      <c r="A15" s="12"/>
      <c r="B15" s="184"/>
      <c r="C15" s="185"/>
      <c r="D15" s="186"/>
      <c r="E15" s="187"/>
      <c r="F15" s="133"/>
      <c r="G15" s="133"/>
      <c r="H15" s="121"/>
      <c r="I15" s="121"/>
      <c r="J15" s="121"/>
      <c r="K15" s="1"/>
    </row>
    <row r="16" spans="1:19" ht="14.25" customHeight="1">
      <c r="A16" s="12"/>
      <c r="B16" s="184"/>
      <c r="C16" s="185"/>
      <c r="D16" s="186"/>
      <c r="E16" s="187"/>
      <c r="F16" s="133"/>
      <c r="G16" s="133"/>
      <c r="H16" s="121"/>
      <c r="I16" s="3"/>
      <c r="J16" s="121"/>
    </row>
    <row r="17" spans="1:12" ht="14.25" customHeight="1">
      <c r="A17" s="63"/>
      <c r="B17" s="12"/>
      <c r="C17" s="35"/>
      <c r="D17" s="31"/>
      <c r="E17" s="34"/>
      <c r="F17" s="121"/>
      <c r="G17" s="121"/>
      <c r="H17" s="121"/>
      <c r="I17" s="3"/>
      <c r="J17" s="213"/>
    </row>
    <row r="18" spans="1:12" s="7" customFormat="1" ht="21" customHeight="1" thickBot="1">
      <c r="A18" s="63"/>
      <c r="B18" s="12"/>
      <c r="C18" s="190"/>
      <c r="D18" s="191"/>
      <c r="E18" s="192"/>
      <c r="F18" s="12"/>
      <c r="G18" s="12"/>
      <c r="H18" s="12"/>
      <c r="I18" s="193"/>
      <c r="J18" s="194"/>
    </row>
    <row r="19" spans="1:12" s="7" customFormat="1" ht="28.5" customHeight="1">
      <c r="A19" s="65" t="s">
        <v>26</v>
      </c>
      <c r="B19" s="261"/>
      <c r="C19" s="262" t="s">
        <v>169</v>
      </c>
      <c r="D19" s="262" t="s">
        <v>129</v>
      </c>
      <c r="E19" s="262" t="s">
        <v>130</v>
      </c>
      <c r="F19" s="262" t="s">
        <v>131</v>
      </c>
      <c r="G19" s="376" t="s">
        <v>132</v>
      </c>
      <c r="H19" s="376" t="s">
        <v>133</v>
      </c>
      <c r="I19" s="262" t="s">
        <v>134</v>
      </c>
      <c r="J19" s="263" t="s">
        <v>166</v>
      </c>
    </row>
    <row r="20" spans="1:12" ht="30.75">
      <c r="A20" s="264" t="s">
        <v>79</v>
      </c>
      <c r="B20" s="240" t="s">
        <v>27</v>
      </c>
      <c r="C20" s="265">
        <v>60</v>
      </c>
      <c r="D20" s="265">
        <v>15</v>
      </c>
      <c r="E20" s="266">
        <f>C20/D20</f>
        <v>4</v>
      </c>
      <c r="F20" s="267">
        <v>3.5</v>
      </c>
      <c r="G20" s="133">
        <v>52</v>
      </c>
      <c r="H20" s="268">
        <f>C20/D20*F20</f>
        <v>14</v>
      </c>
      <c r="I20" s="269">
        <f>ROUND(H20*G20,0)</f>
        <v>728</v>
      </c>
      <c r="J20" s="270">
        <f>ROUND(E20*G20,0)</f>
        <v>208</v>
      </c>
    </row>
    <row r="21" spans="1:12" ht="31.5" thickBot="1">
      <c r="A21" s="271" t="s">
        <v>80</v>
      </c>
      <c r="B21" s="375" t="s">
        <v>27</v>
      </c>
      <c r="C21" s="272">
        <v>100</v>
      </c>
      <c r="D21" s="272">
        <v>15</v>
      </c>
      <c r="E21" s="273">
        <f>C21/D21</f>
        <v>6.666666666666667</v>
      </c>
      <c r="F21" s="274">
        <v>3.5</v>
      </c>
      <c r="G21" s="275">
        <v>52</v>
      </c>
      <c r="H21" s="276">
        <f>C21/D21*F21</f>
        <v>23.333333333333336</v>
      </c>
      <c r="I21" s="277">
        <f>ROUND(H21*G21,0)</f>
        <v>1213</v>
      </c>
      <c r="J21" s="278">
        <f>ROUND(E21*G21,0)</f>
        <v>347</v>
      </c>
    </row>
    <row r="22" spans="1:12" ht="15.75" thickBot="1">
      <c r="A22" s="76"/>
      <c r="B22" s="38"/>
      <c r="C22" s="42"/>
      <c r="D22" s="42"/>
      <c r="E22" s="43"/>
      <c r="F22" s="44"/>
      <c r="G22" s="41"/>
      <c r="H22" s="44"/>
      <c r="I22" s="45"/>
      <c r="J22" s="46"/>
    </row>
    <row r="23" spans="1:12" ht="32.25" customHeight="1">
      <c r="A23" s="189" t="s">
        <v>36</v>
      </c>
      <c r="B23" s="246" t="s">
        <v>23</v>
      </c>
      <c r="C23" s="247" t="s">
        <v>135</v>
      </c>
      <c r="D23" s="248" t="s">
        <v>168</v>
      </c>
      <c r="E23" s="249" t="s">
        <v>24</v>
      </c>
      <c r="F23" s="44"/>
      <c r="G23" s="41"/>
      <c r="H23" s="44"/>
      <c r="I23" s="45"/>
      <c r="J23" s="37"/>
    </row>
    <row r="24" spans="1:12" ht="15.75">
      <c r="A24" s="205"/>
      <c r="B24" s="250" t="s">
        <v>136</v>
      </c>
      <c r="C24" s="251">
        <v>17</v>
      </c>
      <c r="D24" s="252">
        <v>20</v>
      </c>
      <c r="E24" s="253">
        <f>C24*D24</f>
        <v>340</v>
      </c>
      <c r="F24" s="44"/>
      <c r="G24" s="41"/>
      <c r="H24" s="44"/>
      <c r="I24" s="45"/>
      <c r="J24" s="37"/>
      <c r="K24" s="49"/>
      <c r="L24" s="41"/>
    </row>
    <row r="25" spans="1:12" ht="45.75">
      <c r="A25" s="205"/>
      <c r="B25" s="250" t="s">
        <v>167</v>
      </c>
      <c r="C25" s="251">
        <v>200</v>
      </c>
      <c r="D25" s="252">
        <v>1</v>
      </c>
      <c r="E25" s="253">
        <f>C25*D25</f>
        <v>200</v>
      </c>
      <c r="F25" s="44"/>
      <c r="G25" s="41"/>
      <c r="H25" s="44"/>
      <c r="I25" s="45"/>
      <c r="J25" s="39"/>
      <c r="K25" s="50"/>
      <c r="L25" s="41"/>
    </row>
    <row r="26" spans="1:12" ht="15.75">
      <c r="A26" s="205"/>
      <c r="B26" s="250" t="s">
        <v>22</v>
      </c>
      <c r="C26" s="251">
        <v>1500</v>
      </c>
      <c r="D26" s="252">
        <v>1</v>
      </c>
      <c r="E26" s="253">
        <f>C26*D26</f>
        <v>1500</v>
      </c>
      <c r="F26" s="44"/>
      <c r="G26" s="41"/>
      <c r="H26" s="44"/>
      <c r="I26" s="45"/>
      <c r="J26" s="39"/>
      <c r="K26" s="50"/>
      <c r="L26" s="41"/>
    </row>
    <row r="27" spans="1:12" ht="30.75">
      <c r="A27" s="205"/>
      <c r="B27" s="250" t="s">
        <v>137</v>
      </c>
      <c r="C27" s="254">
        <v>600</v>
      </c>
      <c r="D27" s="255">
        <v>1</v>
      </c>
      <c r="E27" s="256">
        <f>C27*D27</f>
        <v>600</v>
      </c>
      <c r="F27" s="44"/>
      <c r="G27" s="41"/>
      <c r="H27" s="44"/>
      <c r="I27" s="45"/>
      <c r="J27" s="37"/>
      <c r="K27" s="41"/>
      <c r="L27" s="41"/>
    </row>
    <row r="28" spans="1:12" ht="45">
      <c r="A28" s="234"/>
      <c r="B28" s="235" t="s">
        <v>138</v>
      </c>
      <c r="C28" s="236">
        <v>300</v>
      </c>
      <c r="D28" s="257">
        <v>1</v>
      </c>
      <c r="E28" s="258">
        <f>C28*D28</f>
        <v>300</v>
      </c>
      <c r="K28" s="41"/>
      <c r="L28" s="41"/>
    </row>
    <row r="29" spans="1:12" ht="16.5" thickBot="1">
      <c r="A29" s="237" t="s">
        <v>165</v>
      </c>
      <c r="B29" s="238"/>
      <c r="C29" s="239"/>
      <c r="D29" s="259"/>
      <c r="E29" s="260">
        <f>SUM(E24:E28)</f>
        <v>2940</v>
      </c>
      <c r="K29" s="41"/>
      <c r="L29" s="41"/>
    </row>
    <row r="30" spans="1:12" ht="16.5" thickBot="1">
      <c r="A30" s="240"/>
      <c r="B30" s="241"/>
      <c r="C30" s="242"/>
      <c r="D30" s="47"/>
      <c r="E30" s="48"/>
      <c r="F30" s="44"/>
      <c r="G30" s="41"/>
      <c r="H30" s="44"/>
      <c r="I30" s="45"/>
      <c r="J30" s="37"/>
      <c r="K30" s="41"/>
      <c r="L30" s="41"/>
    </row>
    <row r="31" spans="1:12" ht="26.25" customHeight="1">
      <c r="A31" s="188" t="s">
        <v>21</v>
      </c>
      <c r="B31" s="243"/>
      <c r="C31" s="244"/>
      <c r="D31" s="3"/>
      <c r="E31" s="3"/>
      <c r="F31" s="121"/>
      <c r="G31" s="121"/>
      <c r="H31" s="121"/>
      <c r="I31" s="121"/>
      <c r="J31" s="37"/>
      <c r="K31" s="41"/>
      <c r="L31" s="41"/>
    </row>
    <row r="32" spans="1:12" ht="90.75" thickBot="1">
      <c r="A32" s="245" t="s">
        <v>139</v>
      </c>
      <c r="B32" s="373" t="s">
        <v>140</v>
      </c>
      <c r="C32" s="374">
        <v>1</v>
      </c>
      <c r="D32" s="3"/>
      <c r="E32" s="3"/>
      <c r="F32" s="121"/>
      <c r="G32" s="121"/>
      <c r="H32" s="121"/>
      <c r="I32" s="121"/>
      <c r="J32" s="37"/>
      <c r="K32" s="41"/>
      <c r="L32" s="41"/>
    </row>
    <row r="33" spans="1:12" ht="14.25">
      <c r="A33" s="39"/>
      <c r="B33" s="37"/>
      <c r="C33" s="52"/>
      <c r="D33" s="3"/>
      <c r="E33" s="3"/>
      <c r="F33" s="121"/>
      <c r="G33" s="121"/>
      <c r="H33" s="121"/>
      <c r="I33" s="121"/>
      <c r="J33" s="37"/>
      <c r="K33" s="41"/>
      <c r="L33" s="41"/>
    </row>
    <row r="34" spans="1:12">
      <c r="A34" s="39"/>
      <c r="B34" s="12"/>
      <c r="C34" s="87"/>
      <c r="D34" s="121"/>
      <c r="E34" s="121"/>
      <c r="F34" s="121"/>
      <c r="G34" s="121"/>
      <c r="H34" s="121"/>
      <c r="I34" s="121"/>
      <c r="J34" s="121"/>
    </row>
    <row r="35" spans="1:12">
      <c r="A35" s="39"/>
      <c r="B35" s="12"/>
      <c r="C35" s="87"/>
      <c r="D35" s="1"/>
      <c r="E35" s="1"/>
      <c r="F35" s="1"/>
      <c r="G35" s="1"/>
      <c r="H35" s="1"/>
      <c r="I35" s="1"/>
      <c r="J35" s="1"/>
    </row>
    <row r="36" spans="1:12" ht="28.5" customHeight="1">
      <c r="A36" s="40"/>
      <c r="B36" s="168"/>
      <c r="C36" s="87"/>
      <c r="D36" s="121"/>
      <c r="E36" s="121"/>
      <c r="F36" s="121"/>
      <c r="G36" s="121"/>
      <c r="H36" s="121"/>
      <c r="I36" s="121"/>
      <c r="J36" s="121"/>
    </row>
    <row r="37" spans="1:12" s="7" customFormat="1" ht="18.75" thickBot="1">
      <c r="A37" s="86" t="s">
        <v>20</v>
      </c>
      <c r="J37" s="51"/>
      <c r="K37" s="51"/>
    </row>
    <row r="38" spans="1:12" ht="47.25">
      <c r="A38" s="196" t="s">
        <v>176</v>
      </c>
      <c r="B38" s="226" t="s">
        <v>177</v>
      </c>
      <c r="C38" s="226" t="s">
        <v>11</v>
      </c>
      <c r="D38" s="226" t="s">
        <v>12</v>
      </c>
      <c r="E38" s="225" t="s">
        <v>10</v>
      </c>
      <c r="F38" s="225" t="s">
        <v>191</v>
      </c>
      <c r="G38" s="225" t="s">
        <v>141</v>
      </c>
      <c r="H38" s="227" t="s">
        <v>142</v>
      </c>
      <c r="I38" s="183"/>
      <c r="J38" s="195"/>
      <c r="K38" s="36"/>
    </row>
    <row r="39" spans="1:12" ht="45.75" thickBot="1">
      <c r="A39" s="382" t="s">
        <v>193</v>
      </c>
      <c r="B39" s="228">
        <f>D43</f>
        <v>19640</v>
      </c>
      <c r="C39" s="229">
        <v>0.2</v>
      </c>
      <c r="D39" s="230">
        <f>B39*(1-C39)</f>
        <v>15712</v>
      </c>
      <c r="E39" s="231">
        <v>4.7500000000000001E-2</v>
      </c>
      <c r="F39" s="232">
        <v>7</v>
      </c>
      <c r="G39" s="230">
        <f>CUMIPMT(E39/12,F39*12,D39,1,12,0)*-1</f>
        <v>704.48302291588561</v>
      </c>
      <c r="H39" s="233">
        <f>CUMIPMT(E39/12,F39*12,D39,13,24,0)*-1</f>
        <v>610.38322040423759</v>
      </c>
      <c r="I39" s="121"/>
      <c r="J39" s="121"/>
    </row>
    <row r="40" spans="1:12">
      <c r="A40" s="12"/>
      <c r="B40" s="89"/>
      <c r="C40" s="90"/>
      <c r="D40" s="91"/>
      <c r="E40" s="88"/>
      <c r="F40" s="92"/>
      <c r="G40" s="93"/>
      <c r="H40" s="94"/>
      <c r="I40" s="1"/>
      <c r="J40" s="1"/>
    </row>
    <row r="41" spans="1:12" ht="16.5" thickBot="1">
      <c r="B41" s="7" t="s">
        <v>19</v>
      </c>
      <c r="D41" s="7"/>
      <c r="F41" s="411"/>
      <c r="G41" s="412"/>
      <c r="H41" s="412"/>
      <c r="K41" s="4"/>
    </row>
    <row r="42" spans="1:12" ht="63">
      <c r="A42" s="196" t="s">
        <v>143</v>
      </c>
      <c r="B42" s="225" t="s">
        <v>175</v>
      </c>
      <c r="C42" s="225" t="s">
        <v>56</v>
      </c>
      <c r="D42" s="226" t="s">
        <v>182</v>
      </c>
      <c r="E42" s="225" t="s">
        <v>55</v>
      </c>
      <c r="F42" s="225" t="s">
        <v>53</v>
      </c>
      <c r="G42" s="380" t="s">
        <v>147</v>
      </c>
      <c r="H42" s="225" t="s">
        <v>54</v>
      </c>
      <c r="I42" s="227" t="s">
        <v>1</v>
      </c>
      <c r="J42" s="183"/>
      <c r="K42" s="169"/>
      <c r="L42" s="121"/>
    </row>
    <row r="43" spans="1:12" ht="90.75">
      <c r="A43" s="279" t="s">
        <v>178</v>
      </c>
      <c r="B43" s="200" t="s">
        <v>194</v>
      </c>
      <c r="C43" s="201" t="s">
        <v>52</v>
      </c>
      <c r="D43" s="319">
        <v>19640</v>
      </c>
      <c r="E43" s="320">
        <v>7</v>
      </c>
      <c r="F43" s="321">
        <f>ROUNDUP(D43/E43,0)</f>
        <v>2806</v>
      </c>
      <c r="G43" s="322">
        <v>1</v>
      </c>
      <c r="H43" s="323">
        <f>F43*G43</f>
        <v>2806</v>
      </c>
      <c r="I43" s="324">
        <f>D43*G43</f>
        <v>19640</v>
      </c>
      <c r="J43" s="133"/>
      <c r="K43" s="122"/>
      <c r="L43" s="121"/>
    </row>
    <row r="44" spans="1:12" ht="60.75">
      <c r="A44" s="280" t="s">
        <v>46</v>
      </c>
      <c r="B44" s="200" t="s">
        <v>195</v>
      </c>
      <c r="C44" s="201" t="s">
        <v>52</v>
      </c>
      <c r="D44" s="319">
        <v>2400</v>
      </c>
      <c r="E44" s="202">
        <v>7</v>
      </c>
      <c r="F44" s="321">
        <f t="shared" ref="F44:F52" si="0">ROUNDUP(D44/E44,0)</f>
        <v>343</v>
      </c>
      <c r="G44" s="322">
        <v>1</v>
      </c>
      <c r="H44" s="323">
        <f t="shared" ref="H44:H52" si="1">F44*G44</f>
        <v>343</v>
      </c>
      <c r="I44" s="324">
        <f t="shared" ref="I44:I52" si="2">D44*G44</f>
        <v>2400</v>
      </c>
      <c r="J44" s="133"/>
      <c r="K44" s="11"/>
      <c r="L44" s="121"/>
    </row>
    <row r="45" spans="1:12" ht="15.75">
      <c r="A45" s="279" t="s">
        <v>7</v>
      </c>
      <c r="B45" s="201"/>
      <c r="C45" s="201"/>
      <c r="D45" s="319">
        <v>25000</v>
      </c>
      <c r="E45" s="202">
        <v>5</v>
      </c>
      <c r="F45" s="325">
        <f t="shared" si="0"/>
        <v>5000</v>
      </c>
      <c r="G45" s="322">
        <v>1</v>
      </c>
      <c r="H45" s="323">
        <f t="shared" si="1"/>
        <v>5000</v>
      </c>
      <c r="I45" s="324">
        <f t="shared" si="2"/>
        <v>25000</v>
      </c>
      <c r="J45" s="133"/>
      <c r="K45" s="11"/>
      <c r="L45" s="121"/>
    </row>
    <row r="46" spans="1:12" ht="45.75">
      <c r="A46" s="279" t="s">
        <v>48</v>
      </c>
      <c r="B46" s="203" t="s">
        <v>192</v>
      </c>
      <c r="C46" s="204">
        <v>1200</v>
      </c>
      <c r="D46" s="326">
        <v>135</v>
      </c>
      <c r="E46" s="202">
        <v>7</v>
      </c>
      <c r="F46" s="321">
        <f t="shared" si="0"/>
        <v>20</v>
      </c>
      <c r="G46" s="327">
        <f>'Oyster Crop Budget'!F9/'Line Item Notes'!C46</f>
        <v>166.66666666666666</v>
      </c>
      <c r="H46" s="323">
        <f t="shared" si="1"/>
        <v>3333.333333333333</v>
      </c>
      <c r="I46" s="324">
        <f t="shared" si="2"/>
        <v>22500</v>
      </c>
      <c r="J46" s="133"/>
      <c r="K46" s="11"/>
      <c r="L46" s="121"/>
    </row>
    <row r="47" spans="1:12" ht="15.75">
      <c r="A47" s="279" t="s">
        <v>144</v>
      </c>
      <c r="B47" s="203" t="s">
        <v>49</v>
      </c>
      <c r="C47" s="204">
        <v>1000</v>
      </c>
      <c r="D47" s="326">
        <v>4.5</v>
      </c>
      <c r="E47" s="202">
        <v>5</v>
      </c>
      <c r="F47" s="321">
        <f>ROUNDUP(D47/E47,2)</f>
        <v>0.9</v>
      </c>
      <c r="G47" s="328">
        <f>'Oyster Crop Budget'!F10/'Line Item Notes'!C47</f>
        <v>400</v>
      </c>
      <c r="H47" s="323">
        <f t="shared" si="1"/>
        <v>360</v>
      </c>
      <c r="I47" s="324">
        <f t="shared" si="2"/>
        <v>1800</v>
      </c>
      <c r="J47" s="133"/>
      <c r="K47" s="11"/>
      <c r="L47" s="121"/>
    </row>
    <row r="48" spans="1:12" ht="15.75">
      <c r="A48" s="279" t="s">
        <v>50</v>
      </c>
      <c r="B48" s="203" t="s">
        <v>51</v>
      </c>
      <c r="C48" s="204">
        <v>300</v>
      </c>
      <c r="D48" s="326">
        <v>4.5</v>
      </c>
      <c r="E48" s="202">
        <v>5</v>
      </c>
      <c r="F48" s="321">
        <f>ROUNDUP(D48/E48,2)</f>
        <v>0.9</v>
      </c>
      <c r="G48" s="328">
        <f>'Oyster Crop Budget'!F9/'Line Item Notes'!C48</f>
        <v>666.66666666666663</v>
      </c>
      <c r="H48" s="323">
        <f t="shared" si="1"/>
        <v>600</v>
      </c>
      <c r="I48" s="324">
        <f t="shared" si="2"/>
        <v>3000</v>
      </c>
      <c r="J48" s="133"/>
      <c r="K48" s="11"/>
      <c r="L48" s="121"/>
    </row>
    <row r="49" spans="1:12" ht="60.75">
      <c r="A49" s="279" t="s">
        <v>145</v>
      </c>
      <c r="B49" s="223" t="s">
        <v>183</v>
      </c>
      <c r="C49" s="201" t="s">
        <v>52</v>
      </c>
      <c r="D49" s="319">
        <f>6500+6200</f>
        <v>12700</v>
      </c>
      <c r="E49" s="202">
        <v>7</v>
      </c>
      <c r="F49" s="321">
        <f t="shared" si="0"/>
        <v>1815</v>
      </c>
      <c r="G49" s="322">
        <v>0</v>
      </c>
      <c r="H49" s="323">
        <f t="shared" si="1"/>
        <v>0</v>
      </c>
      <c r="I49" s="324">
        <f t="shared" si="2"/>
        <v>0</v>
      </c>
      <c r="J49" s="133"/>
      <c r="K49" s="11"/>
      <c r="L49" s="121"/>
    </row>
    <row r="50" spans="1:12" s="30" customFormat="1" ht="135.75">
      <c r="A50" s="281" t="s">
        <v>179</v>
      </c>
      <c r="B50" s="224" t="s">
        <v>184</v>
      </c>
      <c r="C50" s="206" t="s">
        <v>52</v>
      </c>
      <c r="D50" s="207">
        <v>9460.5</v>
      </c>
      <c r="E50" s="202">
        <v>7</v>
      </c>
      <c r="F50" s="321">
        <f t="shared" si="0"/>
        <v>1352</v>
      </c>
      <c r="G50" s="322">
        <v>0</v>
      </c>
      <c r="H50" s="323">
        <f t="shared" si="1"/>
        <v>0</v>
      </c>
      <c r="I50" s="324">
        <f t="shared" si="2"/>
        <v>0</v>
      </c>
      <c r="J50" s="197"/>
      <c r="K50" s="95"/>
      <c r="L50" s="95"/>
    </row>
    <row r="51" spans="1:12" s="8" customFormat="1" ht="75.75">
      <c r="A51" s="281" t="s">
        <v>102</v>
      </c>
      <c r="B51" s="224" t="s">
        <v>180</v>
      </c>
      <c r="C51" s="206" t="s">
        <v>52</v>
      </c>
      <c r="D51" s="207">
        <v>8500</v>
      </c>
      <c r="E51" s="202">
        <v>7</v>
      </c>
      <c r="F51" s="321">
        <f t="shared" si="0"/>
        <v>1215</v>
      </c>
      <c r="G51" s="322">
        <v>0</v>
      </c>
      <c r="H51" s="323">
        <f t="shared" si="1"/>
        <v>0</v>
      </c>
      <c r="I51" s="324">
        <f t="shared" si="2"/>
        <v>0</v>
      </c>
      <c r="J51" s="198"/>
      <c r="K51" s="97"/>
      <c r="L51" s="96"/>
    </row>
    <row r="52" spans="1:12" s="8" customFormat="1" ht="45.75">
      <c r="A52" s="281" t="s">
        <v>17</v>
      </c>
      <c r="B52" s="224" t="s">
        <v>185</v>
      </c>
      <c r="C52" s="206" t="s">
        <v>52</v>
      </c>
      <c r="D52" s="207">
        <v>10000</v>
      </c>
      <c r="E52" s="202">
        <v>7</v>
      </c>
      <c r="F52" s="321">
        <f t="shared" si="0"/>
        <v>1429</v>
      </c>
      <c r="G52" s="322">
        <v>0</v>
      </c>
      <c r="H52" s="323">
        <f t="shared" si="1"/>
        <v>0</v>
      </c>
      <c r="I52" s="324">
        <f t="shared" si="2"/>
        <v>0</v>
      </c>
      <c r="J52" s="198"/>
      <c r="K52" s="96"/>
      <c r="L52" s="96"/>
    </row>
    <row r="53" spans="1:12" s="8" customFormat="1" ht="15.75">
      <c r="A53" s="205" t="s">
        <v>146</v>
      </c>
      <c r="B53" s="206"/>
      <c r="C53" s="206"/>
      <c r="D53" s="208"/>
      <c r="E53" s="209"/>
      <c r="F53" s="329"/>
      <c r="G53" s="330"/>
      <c r="H53" s="323"/>
      <c r="I53" s="324"/>
      <c r="J53" s="198"/>
      <c r="K53" s="96"/>
      <c r="L53" s="96"/>
    </row>
    <row r="54" spans="1:12" ht="16.5" thickBot="1">
      <c r="A54" s="210" t="s">
        <v>165</v>
      </c>
      <c r="B54" s="211"/>
      <c r="C54" s="212"/>
      <c r="D54" s="331"/>
      <c r="E54" s="212"/>
      <c r="F54" s="332"/>
      <c r="G54" s="332"/>
      <c r="H54" s="333">
        <f>SUM(H43:H52)</f>
        <v>12442.333333333332</v>
      </c>
      <c r="I54" s="334">
        <f>SUM(I43:I52)</f>
        <v>74340</v>
      </c>
      <c r="J54" s="199"/>
    </row>
    <row r="57" spans="1:12">
      <c r="C57" s="170"/>
    </row>
    <row r="63" spans="1:12">
      <c r="I63" s="121"/>
    </row>
    <row r="84" spans="1:1">
      <c r="A84" s="75"/>
    </row>
  </sheetData>
  <mergeCells count="4">
    <mergeCell ref="F41:H41"/>
    <mergeCell ref="C8:G8"/>
    <mergeCell ref="C7:G7"/>
    <mergeCell ref="A7:A8"/>
  </mergeCells>
  <phoneticPr fontId="14" type="noConversion"/>
  <pageMargins left="0.75" right="0.75" top="1" bottom="1" header="0.5" footer="0.5"/>
  <pageSetup scale="42" orientation="portrait" horizontalDpi="1200" verticalDpi="1200" r:id="rId1"/>
  <headerFooter>
    <oddHeader>&amp;C&amp;"Arial,Bold"&amp;14&amp;K000000Small-Scale Cultchless Oyster Crop Budgets: Line Item Notes Worksheet</oddHeader>
  </headerFooter>
  <rowBreaks count="1" manualBreakCount="1">
    <brk id="35" max="9" man="1"/>
  </rowBreaks>
  <ignoredErrors>
    <ignoredError sqref="E24:E29" unlockedFormula="1"/>
  </ignoredErrors>
  <legacyDrawing r:id="rId2"/>
  <extLst>
    <ext xmlns:mx="http://schemas.microsoft.com/office/mac/excel/2008/main" uri="{64002731-A6B0-56B0-2670-7721B7C09600}">
      <mx:PLV Mode="1" OnePage="0" WScale="46"/>
    </ext>
  </extLst>
</worksheet>
</file>

<file path=xl/worksheets/sheet4.xml><?xml version="1.0" encoding="utf-8"?>
<worksheet xmlns="http://schemas.openxmlformats.org/spreadsheetml/2006/main" xmlns:r="http://schemas.openxmlformats.org/officeDocument/2006/relationships">
  <dimension ref="A1:F57"/>
  <sheetViews>
    <sheetView view="pageLayout" topLeftCell="A90" zoomScale="125" zoomScalePageLayoutView="125" workbookViewId="0">
      <selection activeCell="C28" sqref="C28"/>
    </sheetView>
  </sheetViews>
  <sheetFormatPr defaultColWidth="8.85546875" defaultRowHeight="15"/>
  <cols>
    <col min="2" max="2" width="44.28515625" customWidth="1"/>
    <col min="3" max="3" width="12.7109375" bestFit="1" customWidth="1"/>
    <col min="4" max="4" width="4.28515625" customWidth="1"/>
    <col min="5" max="5" width="13.42578125" customWidth="1"/>
  </cols>
  <sheetData>
    <row r="1" spans="1:6" s="138" customFormat="1">
      <c r="A1" s="167"/>
      <c r="B1" s="120"/>
    </row>
    <row r="2" spans="1:6" ht="63" customHeight="1">
      <c r="B2" s="420" t="s">
        <v>148</v>
      </c>
      <c r="C2" s="420"/>
    </row>
    <row r="3" spans="1:6" ht="14.1" customHeight="1" thickBot="1">
      <c r="B3" s="163"/>
    </row>
    <row r="4" spans="1:6" ht="60">
      <c r="B4" s="99"/>
      <c r="C4" s="348" t="s">
        <v>42</v>
      </c>
      <c r="D4" s="111"/>
      <c r="E4" s="111"/>
      <c r="F4" s="109"/>
    </row>
    <row r="5" spans="1:6">
      <c r="B5" s="100"/>
      <c r="C5" s="351" t="s">
        <v>69</v>
      </c>
      <c r="D5" s="108"/>
      <c r="E5" s="108"/>
      <c r="F5" s="109"/>
    </row>
    <row r="6" spans="1:6">
      <c r="B6" s="100" t="s">
        <v>3</v>
      </c>
      <c r="C6" s="349"/>
      <c r="D6" s="109"/>
      <c r="E6" s="109"/>
      <c r="F6" s="109"/>
    </row>
    <row r="7" spans="1:6">
      <c r="B7" s="101" t="s">
        <v>74</v>
      </c>
      <c r="C7" s="128">
        <f>'Oyster Crop Budget'!F20/'Oyster Crop Budget'!F80</f>
        <v>0.10858411740114775</v>
      </c>
      <c r="D7" s="109"/>
      <c r="E7" s="109"/>
      <c r="F7" s="109"/>
    </row>
    <row r="8" spans="1:6">
      <c r="B8" s="101" t="s">
        <v>149</v>
      </c>
      <c r="C8" s="128">
        <f>('Oyster Crop Budget'!F21+'Oyster Crop Budget'!F22+'Oyster Crop Budget'!F23+'Oyster Crop Budget'!F24)/'Oyster Crop Budget'!F80</f>
        <v>0.64012508890324615</v>
      </c>
      <c r="D8" s="109"/>
      <c r="E8" s="109"/>
      <c r="F8" s="109"/>
    </row>
    <row r="9" spans="1:6">
      <c r="B9" s="102" t="s">
        <v>39</v>
      </c>
      <c r="C9" s="128">
        <f>('Oyster Crop Budget'!F25+'Oyster Crop Budget'!F26)/'Oyster Crop Budget'!F80</f>
        <v>2.6372367513803761E-2</v>
      </c>
      <c r="D9" s="109"/>
      <c r="E9" s="109"/>
      <c r="F9" s="109"/>
    </row>
    <row r="10" spans="1:6">
      <c r="B10" s="102" t="s">
        <v>40</v>
      </c>
      <c r="C10" s="128">
        <f>('Oyster Crop Budget'!F27+'Oyster Crop Budget'!F28)/'Oyster Crop Budget'!F80</f>
        <v>9.5011102726004285E-3</v>
      </c>
      <c r="D10" s="109"/>
      <c r="E10" s="109"/>
      <c r="F10" s="109"/>
    </row>
    <row r="11" spans="1:6">
      <c r="B11" s="102" t="s">
        <v>150</v>
      </c>
      <c r="C11" s="128">
        <f>'Oyster Crop Budget'!F31/'Oyster Crop Budget'!F80</f>
        <v>2.2621691125239113E-3</v>
      </c>
      <c r="D11" s="109"/>
      <c r="E11" s="109"/>
      <c r="F11" s="109"/>
    </row>
    <row r="12" spans="1:6">
      <c r="B12" s="174" t="s">
        <v>164</v>
      </c>
      <c r="C12" s="175">
        <f>'Oyster Crop Budget'!F35/'Oyster Crop Budget'!F80</f>
        <v>0.78684485320332198</v>
      </c>
      <c r="D12" s="109"/>
      <c r="E12" s="116"/>
      <c r="F12" s="109"/>
    </row>
    <row r="13" spans="1:6">
      <c r="B13" s="103"/>
      <c r="C13" s="139"/>
      <c r="D13" s="109"/>
      <c r="E13" s="109"/>
      <c r="F13" s="109"/>
    </row>
    <row r="14" spans="1:6">
      <c r="B14" s="100" t="s">
        <v>5</v>
      </c>
      <c r="C14" s="139"/>
      <c r="D14" s="109"/>
      <c r="E14" s="109"/>
      <c r="F14" s="109"/>
    </row>
    <row r="15" spans="1:6">
      <c r="B15" s="104" t="s">
        <v>151</v>
      </c>
      <c r="C15" s="128">
        <f>'Oyster Crop Budget'!F40/'Oyster Crop Budget'!F80</f>
        <v>8.2931119665126587E-3</v>
      </c>
      <c r="D15" s="109"/>
      <c r="E15" s="109"/>
      <c r="F15" s="109"/>
    </row>
    <row r="16" spans="1:6">
      <c r="B16" s="104" t="s">
        <v>152</v>
      </c>
      <c r="C16" s="128">
        <f>('Oyster Crop Budget'!F41+'Oyster Crop Budget'!F42+'Oyster Crop Budget'!F43)/'Oyster Crop Budget'!F80</f>
        <v>2.2856956712941599E-2</v>
      </c>
      <c r="D16" s="109"/>
      <c r="E16" s="109"/>
      <c r="F16" s="109"/>
    </row>
    <row r="17" spans="1:6">
      <c r="B17" s="104" t="s">
        <v>153</v>
      </c>
      <c r="C17" s="128">
        <f>('Oyster Crop Budget'!F45+'Oyster Crop Budget'!F46)/'Oyster Crop Budget'!F80</f>
        <v>4.7505551363002142E-3</v>
      </c>
      <c r="D17" s="109"/>
      <c r="E17" s="109"/>
      <c r="F17" s="109"/>
    </row>
    <row r="18" spans="1:6">
      <c r="B18" s="110" t="s">
        <v>95</v>
      </c>
      <c r="C18" s="128">
        <f>'Oyster Crop Budget'!F47/'Oyster Crop Budget'!F80</f>
        <v>5.4292058700573876E-3</v>
      </c>
      <c r="D18" s="109"/>
      <c r="E18" s="109"/>
      <c r="F18" s="109"/>
    </row>
    <row r="19" spans="1:6">
      <c r="B19" s="100" t="s">
        <v>196</v>
      </c>
      <c r="C19" s="129"/>
      <c r="D19" s="109"/>
      <c r="E19" s="109"/>
      <c r="F19" s="109"/>
    </row>
    <row r="20" spans="1:6">
      <c r="B20" s="104" t="s">
        <v>154</v>
      </c>
      <c r="C20" s="128">
        <f>('Oyster Crop Budget'!F49+'Oyster Crop Budget'!F50)/'Oyster Crop Budget'!F80</f>
        <v>4.2741423212026779E-2</v>
      </c>
      <c r="D20" s="109"/>
      <c r="E20" s="109"/>
      <c r="F20" s="109"/>
    </row>
    <row r="21" spans="1:6">
      <c r="B21" s="104" t="s">
        <v>7</v>
      </c>
      <c r="C21" s="128">
        <f>'Oyster Crop Budget'!F51/'Oyster Crop Budget'!F80</f>
        <v>6.7865073375717344E-2</v>
      </c>
      <c r="D21" s="109"/>
      <c r="E21" s="109"/>
      <c r="F21" s="109"/>
    </row>
    <row r="22" spans="1:6">
      <c r="B22" s="101" t="s">
        <v>41</v>
      </c>
      <c r="C22" s="128">
        <f>('Oyster Crop Budget'!F52+'Oyster Crop Budget'!F53+'Oyster Crop Budget'!F54)/'Oyster Crop Budget'!F80</f>
        <v>5.8273476338615952E-2</v>
      </c>
      <c r="D22" s="109"/>
      <c r="E22" s="109"/>
      <c r="F22" s="109"/>
    </row>
    <row r="23" spans="1:6">
      <c r="B23" s="104" t="s">
        <v>100</v>
      </c>
      <c r="C23" s="128"/>
      <c r="D23" s="109"/>
      <c r="E23" s="109"/>
      <c r="F23" s="109"/>
    </row>
    <row r="24" spans="1:6">
      <c r="B24" s="101" t="s">
        <v>155</v>
      </c>
      <c r="C24" s="128"/>
      <c r="D24" s="109"/>
      <c r="E24" s="109"/>
      <c r="F24" s="109"/>
    </row>
    <row r="25" spans="1:6">
      <c r="B25" s="104" t="s">
        <v>156</v>
      </c>
      <c r="C25" s="128"/>
      <c r="D25" s="109"/>
      <c r="E25" s="109"/>
      <c r="F25" s="109"/>
    </row>
    <row r="26" spans="1:6">
      <c r="B26" s="174" t="s">
        <v>165</v>
      </c>
      <c r="C26" s="175">
        <f>'Oyster Crop Budget'!F61/'Oyster Crop Budget'!F80</f>
        <v>0.21020980261217193</v>
      </c>
      <c r="D26" s="109"/>
      <c r="E26" s="116"/>
      <c r="F26" s="109"/>
    </row>
    <row r="27" spans="1:6">
      <c r="B27" s="103"/>
      <c r="C27" s="139"/>
      <c r="D27" s="109"/>
      <c r="E27" s="109"/>
      <c r="F27" s="109"/>
    </row>
    <row r="28" spans="1:6" ht="42.95" customHeight="1" thickBot="1">
      <c r="B28" s="105" t="s">
        <v>157</v>
      </c>
      <c r="C28" s="381"/>
      <c r="D28" s="109"/>
      <c r="E28" s="109"/>
      <c r="F28" s="109"/>
    </row>
    <row r="29" spans="1:6">
      <c r="B29" s="67"/>
      <c r="C29" s="138"/>
    </row>
    <row r="30" spans="1:6" s="138" customFormat="1">
      <c r="A30" s="167"/>
      <c r="B30" s="42"/>
    </row>
    <row r="31" spans="1:6">
      <c r="B31" s="42" t="s">
        <v>158</v>
      </c>
      <c r="C31" s="138"/>
    </row>
    <row r="32" spans="1:6" ht="15.75" thickBot="1">
      <c r="B32" s="176" t="s">
        <v>43</v>
      </c>
      <c r="C32" s="347">
        <f>C40+C54+C56</f>
        <v>0.36837799999999998</v>
      </c>
    </row>
    <row r="33" spans="2:5" ht="45">
      <c r="B33" s="115"/>
      <c r="C33" s="346" t="s">
        <v>159</v>
      </c>
    </row>
    <row r="34" spans="2:5">
      <c r="B34" s="100" t="s">
        <v>3</v>
      </c>
      <c r="C34" s="139"/>
    </row>
    <row r="35" spans="2:5">
      <c r="B35" s="101" t="s">
        <v>74</v>
      </c>
      <c r="C35" s="342">
        <f>'Oyster Crop Budget'!F20/'Oyster Crop Budget'!C17</f>
        <v>0.04</v>
      </c>
    </row>
    <row r="36" spans="2:5">
      <c r="B36" s="101" t="s">
        <v>160</v>
      </c>
      <c r="C36" s="342">
        <f>('Oyster Crop Budget'!F21+'Oyster Crop Budget'!F22+'Oyster Crop Budget'!F23+'Oyster Crop Budget'!F24)/'Oyster Crop Budget'!C17</f>
        <v>0.23580799999999999</v>
      </c>
    </row>
    <row r="37" spans="2:5">
      <c r="B37" s="102" t="s">
        <v>39</v>
      </c>
      <c r="C37" s="342">
        <f>('Oyster Crop Budget'!F25+'Oyster Crop Budget'!F26)/'Oyster Crop Budget'!C17</f>
        <v>9.7149999999999997E-3</v>
      </c>
    </row>
    <row r="38" spans="2:5">
      <c r="B38" s="102" t="s">
        <v>40</v>
      </c>
      <c r="C38" s="342">
        <f>('Oyster Crop Budget'!F27+'Oyster Crop Budget'!F28)/'Oyster Crop Budget'!C17</f>
        <v>3.5000000000000001E-3</v>
      </c>
    </row>
    <row r="39" spans="2:5">
      <c r="B39" s="102" t="s">
        <v>150</v>
      </c>
      <c r="C39" s="342">
        <f>'Oyster Crop Budget'!F31/'Oyster Crop Budget'!C17</f>
        <v>8.3333333333333328E-4</v>
      </c>
      <c r="E39" s="162"/>
    </row>
    <row r="40" spans="2:5">
      <c r="B40" s="174" t="s">
        <v>164</v>
      </c>
      <c r="C40" s="343">
        <f>'Oyster Crop Budget'!F35/'Oyster Crop Budget'!C17</f>
        <v>0.28985633333333333</v>
      </c>
      <c r="E40" s="162"/>
    </row>
    <row r="41" spans="2:5">
      <c r="B41" s="103"/>
      <c r="C41" s="344"/>
    </row>
    <row r="42" spans="2:5">
      <c r="B42" s="100" t="s">
        <v>5</v>
      </c>
      <c r="C42" s="344"/>
      <c r="E42" s="162"/>
    </row>
    <row r="43" spans="2:5">
      <c r="B43" s="112" t="s">
        <v>151</v>
      </c>
      <c r="C43" s="342">
        <f>'Oyster Crop Budget'!F40/'Oyster Crop Budget'!C17</f>
        <v>3.055E-3</v>
      </c>
      <c r="E43" s="162"/>
    </row>
    <row r="44" spans="2:5">
      <c r="B44" s="113" t="s">
        <v>152</v>
      </c>
      <c r="C44" s="342">
        <f>('Oyster Crop Budget'!F41+'Oyster Crop Budget'!F42+'Oyster Crop Budget'!F43)/'Oyster Crop Budget'!C17</f>
        <v>8.4200000000000004E-3</v>
      </c>
    </row>
    <row r="45" spans="2:5">
      <c r="B45" s="113" t="s">
        <v>153</v>
      </c>
      <c r="C45" s="342">
        <f>('Oyster Crop Budget'!F45+'Oyster Crop Budget'!F46)/'Oyster Crop Budget'!C17</f>
        <v>1.75E-3</v>
      </c>
    </row>
    <row r="46" spans="2:5">
      <c r="B46" s="114" t="s">
        <v>95</v>
      </c>
      <c r="C46" s="342">
        <f>'Oyster Crop Budget'!F47/'Oyster Crop Budget'!C17</f>
        <v>2E-3</v>
      </c>
    </row>
    <row r="47" spans="2:5">
      <c r="B47" s="100" t="s">
        <v>196</v>
      </c>
      <c r="C47" s="344"/>
    </row>
    <row r="48" spans="2:5">
      <c r="B48" s="104" t="s">
        <v>154</v>
      </c>
      <c r="C48" s="342">
        <f>('Oyster Crop Budget'!F49+'Oyster Crop Budget'!F50)/'Oyster Crop Budget'!C17</f>
        <v>1.5744999999999999E-2</v>
      </c>
    </row>
    <row r="49" spans="2:5">
      <c r="B49" s="104" t="s">
        <v>7</v>
      </c>
      <c r="C49" s="342">
        <f>'Oyster Crop Budget'!F51/'Oyster Crop Budget'!C17</f>
        <v>2.5000000000000001E-2</v>
      </c>
    </row>
    <row r="50" spans="2:5">
      <c r="B50" s="101" t="s">
        <v>41</v>
      </c>
      <c r="C50" s="342">
        <f>('Oyster Crop Budget'!F52+'Oyster Crop Budget'!F53+'Oyster Crop Budget'!F54)/'Oyster Crop Budget'!C17</f>
        <v>2.1466666666666665E-2</v>
      </c>
    </row>
    <row r="51" spans="2:5">
      <c r="B51" s="104" t="s">
        <v>100</v>
      </c>
      <c r="C51" s="342"/>
    </row>
    <row r="52" spans="2:5">
      <c r="B52" s="101" t="s">
        <v>155</v>
      </c>
      <c r="C52" s="342"/>
      <c r="E52" s="117"/>
    </row>
    <row r="53" spans="2:5">
      <c r="B53" s="104" t="s">
        <v>156</v>
      </c>
      <c r="C53" s="342"/>
    </row>
    <row r="54" spans="2:5">
      <c r="B54" s="174" t="s">
        <v>164</v>
      </c>
      <c r="C54" s="343">
        <f>'Oyster Crop Budget'!F61/'Oyster Crop Budget'!C17</f>
        <v>7.7436666666666668E-2</v>
      </c>
    </row>
    <row r="55" spans="2:5">
      <c r="B55" s="103"/>
      <c r="C55" s="344"/>
    </row>
    <row r="56" spans="2:5" ht="30">
      <c r="B56" s="106" t="s">
        <v>157</v>
      </c>
      <c r="C56" s="350">
        <f>'Oyster Crop Budget'!F78/'Oyster Crop Budget'!C17</f>
        <v>1.085E-3</v>
      </c>
    </row>
    <row r="57" spans="2:5" ht="15.75" thickBot="1">
      <c r="B57" s="107"/>
      <c r="C57" s="345"/>
    </row>
  </sheetData>
  <mergeCells count="1">
    <mergeCell ref="B2:C2"/>
  </mergeCells>
  <phoneticPr fontId="15" type="noConversion"/>
  <pageMargins left="0.75" right="0.75" top="1" bottom="1" header="0.5" footer="0.5"/>
  <pageSetup scale="59" orientation="portrait" horizontalDpi="1200" verticalDpi="1200" r:id="rId1"/>
  <headerFooter>
    <oddHeader>&amp;C&amp;"Arial,Bold"&amp;14&amp;K000000Small-Scale Cultchless Oyster Crop Budget: Budget Evaluation Worksheet&amp;"Calibri,Regular"&amp;11_x000D_</oddHeader>
  </headerFooter>
  <rowBreaks count="1" manualBreakCount="1">
    <brk id="29" max="4" man="1"/>
  </rowBreaks>
  <extLst>
    <ext xmlns:mx="http://schemas.microsoft.com/office/mac/excel/2008/main" uri="{64002731-A6B0-56B0-2670-7721B7C09600}">
      <mx:PLV Mode="1" OnePage="0" WScale="10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Menu</vt:lpstr>
      <vt:lpstr>Oyster Crop Budget</vt:lpstr>
      <vt:lpstr>Line Item Notes</vt:lpstr>
      <vt:lpstr>Budget Evaluation</vt:lpstr>
      <vt:lpstr>'Budget Evaluation'!Print_Area</vt:lpstr>
      <vt:lpstr>'Line Item Notes'!Print_Area</vt:lpstr>
      <vt:lpstr>Menu!Print_Area</vt:lpstr>
      <vt:lpstr>'Oyster Crop Budget'!Print_Area</vt:lpstr>
    </vt:vector>
  </TitlesOfParts>
  <Manager/>
  <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Printed>2013-04-01T20:12:37Z</cp:lastPrinted>
  <dcterms:created xsi:type="dcterms:W3CDTF">2006-09-16T00:00:00Z</dcterms:created>
  <dcterms:modified xsi:type="dcterms:W3CDTF">2014-03-17T18:26:24Z</dcterms:modified>
  <cp:category/>
</cp:coreProperties>
</file>