
<file path=[Content_Types].xml><?xml version="1.0" encoding="utf-8"?>
<Types xmlns="http://schemas.openxmlformats.org/package/2006/content-types">
  <Default Extension="png" ContentType="image/png"/>
  <Override PartName="/xl/charts/chart6.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480" yWindow="75" windowWidth="7995" windowHeight="6720"/>
  </bookViews>
  <sheets>
    <sheet name="Interface" sheetId="1" r:id="rId1"/>
    <sheet name="Quantities explained" sheetId="4" r:id="rId2"/>
    <sheet name="Plots" sheetId="3" r:id="rId3"/>
    <sheet name="Background" sheetId="2" r:id="rId4"/>
  </sheets>
  <calcPr calcId="125725" concurrentCalc="0"/>
  <extLst>
    <ext xmlns:mx="http://schemas.microsoft.com/office/mac/excel/2008/main" uri="{7523E5D3-25F3-A5E0-1632-64F254C22452}">
      <mx:ArchID Flags="2"/>
    </ext>
  </extLst>
</workbook>
</file>

<file path=xl/calcChain.xml><?xml version="1.0" encoding="utf-8"?>
<calcChain xmlns="http://schemas.openxmlformats.org/spreadsheetml/2006/main">
  <c r="F5" i="2"/>
  <c r="H19"/>
  <c r="H31"/>
  <c r="F19"/>
  <c r="F31"/>
  <c r="K17" i="1"/>
  <c r="I9" i="2"/>
  <c r="F17" i="1"/>
  <c r="F16"/>
  <c r="F6"/>
  <c r="F13"/>
  <c r="F14"/>
  <c r="F3"/>
  <c r="I10" i="2"/>
  <c r="F10"/>
  <c r="F2"/>
  <c r="L53"/>
  <c r="M53"/>
  <c r="L45"/>
  <c r="L39"/>
  <c r="M39"/>
  <c r="L33"/>
  <c r="L29"/>
  <c r="M29"/>
  <c r="L25"/>
  <c r="L19"/>
  <c r="M19"/>
  <c r="L13"/>
  <c r="L5"/>
  <c r="M5"/>
  <c r="L51"/>
  <c r="L49"/>
  <c r="M49"/>
  <c r="L47"/>
  <c r="L43"/>
  <c r="M43"/>
  <c r="L41"/>
  <c r="L37"/>
  <c r="M37"/>
  <c r="L35"/>
  <c r="L31"/>
  <c r="M31"/>
  <c r="L27"/>
  <c r="L23"/>
  <c r="M23"/>
  <c r="L21"/>
  <c r="L17"/>
  <c r="M17"/>
  <c r="L15"/>
  <c r="L11"/>
  <c r="M11"/>
  <c r="L9"/>
  <c r="L7"/>
  <c r="M7"/>
  <c r="L3"/>
  <c r="L52"/>
  <c r="L50"/>
  <c r="L48"/>
  <c r="L46"/>
  <c r="L44"/>
  <c r="L42"/>
  <c r="L40"/>
  <c r="L38"/>
  <c r="L36"/>
  <c r="L34"/>
  <c r="L32"/>
  <c r="L30"/>
  <c r="L28"/>
  <c r="L26"/>
  <c r="L24"/>
  <c r="L22"/>
  <c r="L20"/>
  <c r="L18"/>
  <c r="L16"/>
  <c r="L14"/>
  <c r="L12"/>
  <c r="L10"/>
  <c r="L8"/>
  <c r="L6"/>
  <c r="L4"/>
  <c r="M3"/>
  <c r="M52"/>
  <c r="M50"/>
  <c r="M48"/>
  <c r="M46"/>
  <c r="M44"/>
  <c r="M42"/>
  <c r="M40"/>
  <c r="M38"/>
  <c r="M36"/>
  <c r="M34"/>
  <c r="M32"/>
  <c r="M30"/>
  <c r="M28"/>
  <c r="M26"/>
  <c r="M24"/>
  <c r="M22"/>
  <c r="M20"/>
  <c r="M18"/>
  <c r="M16"/>
  <c r="M14"/>
  <c r="M12"/>
  <c r="M10"/>
  <c r="M8"/>
  <c r="M6"/>
  <c r="M4"/>
  <c r="M51"/>
  <c r="M47"/>
  <c r="M45"/>
  <c r="M41"/>
  <c r="M35"/>
  <c r="M33"/>
  <c r="M27"/>
  <c r="M25"/>
  <c r="M21"/>
  <c r="M15"/>
  <c r="M13"/>
  <c r="M9"/>
  <c r="I5"/>
  <c r="I8"/>
  <c r="I7"/>
  <c r="I4"/>
  <c r="I6"/>
  <c r="I3"/>
  <c r="F3"/>
  <c r="C31"/>
  <c r="C9"/>
  <c r="C5"/>
  <c r="C8"/>
  <c r="C6"/>
  <c r="C10"/>
  <c r="C13"/>
  <c r="C11"/>
  <c r="C7"/>
  <c r="C14"/>
  <c r="C12"/>
  <c r="C4"/>
  <c r="F4"/>
  <c r="F7"/>
  <c r="Q7"/>
  <c r="F8"/>
  <c r="Q51"/>
  <c r="Q38"/>
  <c r="Q19"/>
  <c r="Q28"/>
  <c r="Q47"/>
  <c r="Q3"/>
  <c r="Q6"/>
  <c r="Q52"/>
  <c r="Q24"/>
  <c r="Q50"/>
  <c r="Q18"/>
  <c r="Q45"/>
  <c r="Q49"/>
  <c r="Q20"/>
  <c r="Q9"/>
  <c r="Q30"/>
  <c r="Q39"/>
  <c r="Q41"/>
  <c r="Q13"/>
  <c r="Q16"/>
  <c r="Q42"/>
  <c r="Q10"/>
  <c r="F20"/>
  <c r="F32"/>
  <c r="Q29"/>
  <c r="Q48"/>
  <c r="Q33"/>
  <c r="Q36"/>
  <c r="Q12"/>
  <c r="Q21"/>
  <c r="Q22"/>
  <c r="Q11"/>
  <c r="Q44"/>
  <c r="Q8"/>
  <c r="Q34"/>
  <c r="Q27"/>
  <c r="Q40"/>
  <c r="Q4"/>
  <c r="Q46"/>
  <c r="Q14"/>
  <c r="Q23"/>
  <c r="Q25"/>
  <c r="Q32"/>
  <c r="Q26"/>
  <c r="Q35"/>
  <c r="Q37"/>
  <c r="C25"/>
  <c r="K7" i="1"/>
  <c r="C30" i="2"/>
  <c r="C28"/>
  <c r="C16"/>
  <c r="C19"/>
  <c r="H17"/>
  <c r="H29"/>
  <c r="H18"/>
  <c r="H30"/>
  <c r="F16"/>
  <c r="F28"/>
  <c r="H14"/>
  <c r="H26"/>
  <c r="C29"/>
  <c r="H16"/>
  <c r="H28"/>
  <c r="F14"/>
  <c r="F26"/>
  <c r="F15"/>
  <c r="F27"/>
  <c r="H15"/>
  <c r="H27"/>
  <c r="K11" i="1"/>
  <c r="C20" i="2"/>
  <c r="O42"/>
  <c r="O52"/>
  <c r="N33"/>
  <c r="P45"/>
  <c r="N23"/>
  <c r="P47"/>
  <c r="N6"/>
  <c r="N22"/>
  <c r="N38"/>
  <c r="N46"/>
  <c r="N44"/>
  <c r="O40"/>
  <c r="O50"/>
  <c r="N19"/>
  <c r="N8"/>
  <c r="N24"/>
  <c r="P38"/>
  <c r="O38"/>
  <c r="P50"/>
  <c r="N41"/>
  <c r="N15"/>
  <c r="N35"/>
  <c r="O51"/>
  <c r="N18"/>
  <c r="N34"/>
  <c r="N50"/>
  <c r="N48"/>
  <c r="O44"/>
  <c r="N9"/>
  <c r="O45"/>
  <c r="N47"/>
  <c r="N20"/>
  <c r="N36"/>
  <c r="O47"/>
  <c r="P48"/>
  <c r="N40"/>
  <c r="Q43"/>
  <c r="P43"/>
  <c r="N5"/>
  <c r="C24"/>
  <c r="N29"/>
  <c r="N43"/>
  <c r="Q17"/>
  <c r="Q53"/>
  <c r="N49"/>
  <c r="O48"/>
  <c r="N25"/>
  <c r="P41"/>
  <c r="N11"/>
  <c r="P39"/>
  <c r="P51"/>
  <c r="N14"/>
  <c r="N30"/>
  <c r="N42"/>
  <c r="N3"/>
  <c r="P49"/>
  <c r="O46"/>
  <c r="O41"/>
  <c r="N51"/>
  <c r="N16"/>
  <c r="N32"/>
  <c r="N52"/>
  <c r="P46"/>
  <c r="N13"/>
  <c r="N45"/>
  <c r="N27"/>
  <c r="N39"/>
  <c r="N10"/>
  <c r="N26"/>
  <c r="P40"/>
  <c r="P42"/>
  <c r="O49"/>
  <c r="P52"/>
  <c r="N21"/>
  <c r="O39"/>
  <c r="N4"/>
  <c r="N28"/>
  <c r="N37"/>
  <c r="P44"/>
  <c r="N12"/>
  <c r="F18"/>
  <c r="F30"/>
  <c r="K16" i="1"/>
  <c r="O53" i="2"/>
  <c r="N53"/>
  <c r="N7"/>
  <c r="C3"/>
  <c r="H20"/>
  <c r="H32"/>
  <c r="K21" i="1"/>
  <c r="O43" i="2"/>
  <c r="P17"/>
  <c r="P53"/>
  <c r="Q5"/>
  <c r="N17"/>
  <c r="Q31"/>
  <c r="N31"/>
  <c r="Q15"/>
  <c r="K12" i="1"/>
  <c r="K10"/>
  <c r="C22" i="2"/>
  <c r="F17"/>
  <c r="F29"/>
  <c r="K15" i="1"/>
  <c r="C23" i="2"/>
  <c r="C17"/>
  <c r="S49"/>
  <c r="O20"/>
  <c r="O4"/>
  <c r="O24"/>
  <c r="O3"/>
  <c r="O33"/>
  <c r="O23"/>
  <c r="O12"/>
  <c r="O9"/>
  <c r="O22"/>
  <c r="O29"/>
  <c r="O35"/>
  <c r="O6"/>
  <c r="O21"/>
  <c r="O28"/>
  <c r="O37"/>
  <c r="O10"/>
  <c r="O17"/>
  <c r="O31"/>
  <c r="O7"/>
  <c r="O30"/>
  <c r="O16"/>
  <c r="O32"/>
  <c r="O25"/>
  <c r="O11"/>
  <c r="O8"/>
  <c r="O26"/>
  <c r="O19"/>
  <c r="O36"/>
  <c r="O15"/>
  <c r="O18"/>
  <c r="O34"/>
  <c r="O14"/>
  <c r="O13"/>
  <c r="O27"/>
  <c r="O5"/>
  <c r="H21"/>
  <c r="H33"/>
  <c r="R48"/>
  <c r="R52"/>
  <c r="R45"/>
  <c r="R50"/>
  <c r="R38"/>
  <c r="R49"/>
  <c r="R44"/>
  <c r="R47"/>
  <c r="P5"/>
  <c r="P35"/>
  <c r="P13"/>
  <c r="P18"/>
  <c r="C27"/>
  <c r="P31"/>
  <c r="C21"/>
  <c r="P37"/>
  <c r="P14"/>
  <c r="P11"/>
  <c r="P30"/>
  <c r="P22"/>
  <c r="P25"/>
  <c r="P6"/>
  <c r="P26"/>
  <c r="P4"/>
  <c r="P19"/>
  <c r="P29"/>
  <c r="P36"/>
  <c r="P20"/>
  <c r="P33"/>
  <c r="P24"/>
  <c r="P34"/>
  <c r="H22"/>
  <c r="S41"/>
  <c r="S44"/>
  <c r="S51"/>
  <c r="S52"/>
  <c r="S40"/>
  <c r="S46"/>
  <c r="S39"/>
  <c r="S53"/>
  <c r="P3"/>
  <c r="P15"/>
  <c r="P32"/>
  <c r="P8"/>
  <c r="C18"/>
  <c r="P7"/>
  <c r="P21"/>
  <c r="P28"/>
  <c r="C26"/>
  <c r="R51"/>
  <c r="P27"/>
  <c r="P12"/>
  <c r="P9"/>
  <c r="P23"/>
  <c r="P10"/>
  <c r="P16"/>
  <c r="C15"/>
  <c r="S16"/>
  <c r="S35"/>
  <c r="S32"/>
  <c r="S33"/>
  <c r="S24"/>
  <c r="S27"/>
  <c r="S13"/>
  <c r="S28"/>
  <c r="S12"/>
  <c r="S15"/>
  <c r="F22"/>
  <c r="K23" i="1"/>
  <c r="S18" i="2"/>
  <c r="S25"/>
  <c r="S34"/>
  <c r="S14"/>
  <c r="S22"/>
  <c r="S3"/>
  <c r="S6"/>
  <c r="S8"/>
  <c r="S9"/>
  <c r="S30"/>
  <c r="S11"/>
  <c r="S10"/>
  <c r="S20"/>
  <c r="S21"/>
  <c r="S36"/>
  <c r="S19"/>
  <c r="S31"/>
  <c r="S4"/>
  <c r="S37"/>
  <c r="S26"/>
  <c r="S23"/>
  <c r="S17"/>
  <c r="S29"/>
  <c r="S7"/>
  <c r="S5"/>
  <c r="F21"/>
  <c r="F33"/>
  <c r="K20" i="1"/>
  <c r="R32" i="2"/>
  <c r="R8"/>
  <c r="R30"/>
  <c r="R21"/>
  <c r="R11"/>
  <c r="R27"/>
  <c r="R6"/>
  <c r="R4"/>
  <c r="R9"/>
  <c r="R7"/>
  <c r="R16"/>
  <c r="R14"/>
  <c r="R20"/>
  <c r="R17"/>
  <c r="R15"/>
  <c r="R18"/>
  <c r="R5"/>
  <c r="R24"/>
  <c r="R12"/>
  <c r="R10"/>
  <c r="R13"/>
  <c r="R37"/>
  <c r="R19"/>
  <c r="R35"/>
  <c r="R22"/>
  <c r="R28"/>
  <c r="R26"/>
  <c r="R25"/>
  <c r="R23"/>
  <c r="R3"/>
  <c r="R36"/>
  <c r="R34"/>
  <c r="R33"/>
  <c r="R31"/>
  <c r="R29"/>
  <c r="S43"/>
  <c r="S45"/>
  <c r="S42"/>
  <c r="S38"/>
  <c r="S47"/>
  <c r="S48"/>
  <c r="S50"/>
  <c r="R43"/>
  <c r="R40"/>
  <c r="R42"/>
  <c r="R53"/>
  <c r="R46"/>
  <c r="R41"/>
  <c r="R39"/>
</calcChain>
</file>

<file path=xl/sharedStrings.xml><?xml version="1.0" encoding="utf-8"?>
<sst xmlns="http://schemas.openxmlformats.org/spreadsheetml/2006/main" count="163" uniqueCount="125">
  <si>
    <t>R of curvature</t>
  </si>
  <si>
    <t>λx</t>
  </si>
  <si>
    <t>λy</t>
  </si>
  <si>
    <t>λz</t>
  </si>
  <si>
    <t>λc</t>
  </si>
  <si>
    <t>λa</t>
  </si>
  <si>
    <t>h</t>
  </si>
  <si>
    <t>α</t>
  </si>
  <si>
    <t>γ</t>
  </si>
  <si>
    <t>e</t>
  </si>
  <si>
    <t>θ</t>
  </si>
  <si>
    <t>c1</t>
  </si>
  <si>
    <t>c2</t>
  </si>
  <si>
    <t>c3</t>
  </si>
  <si>
    <t>c4</t>
  </si>
  <si>
    <t>c5</t>
  </si>
  <si>
    <t>c6</t>
  </si>
  <si>
    <t>c7</t>
  </si>
  <si>
    <t>c8</t>
  </si>
  <si>
    <t>c9</t>
  </si>
  <si>
    <t>c10</t>
  </si>
  <si>
    <t>c11</t>
  </si>
  <si>
    <t>c12</t>
  </si>
  <si>
    <t>c13</t>
  </si>
  <si>
    <t>c14</t>
  </si>
  <si>
    <t>c15</t>
  </si>
  <si>
    <t>c16</t>
  </si>
  <si>
    <t>c17</t>
  </si>
  <si>
    <t>c18</t>
  </si>
  <si>
    <t>c19</t>
  </si>
  <si>
    <t>c20</t>
  </si>
  <si>
    <t>c21</t>
  </si>
  <si>
    <t>c22</t>
  </si>
  <si>
    <t>c23</t>
  </si>
  <si>
    <t>c24</t>
  </si>
  <si>
    <t>c25</t>
  </si>
  <si>
    <t>c26</t>
  </si>
  <si>
    <t>c27</t>
  </si>
  <si>
    <t>c28</t>
  </si>
  <si>
    <t>c29</t>
  </si>
  <si>
    <t>φ</t>
  </si>
  <si>
    <t>w</t>
  </si>
  <si>
    <t>v</t>
  </si>
  <si>
    <t>Non-Dimensional</t>
  </si>
  <si>
    <t>Dimensional</t>
  </si>
  <si>
    <t>W</t>
  </si>
  <si>
    <t>V</t>
  </si>
  <si>
    <t>β rigid</t>
  </si>
  <si>
    <t>Material Properties:</t>
  </si>
  <si>
    <t>Beam Properties:</t>
  </si>
  <si>
    <t>N/A</t>
  </si>
  <si>
    <t>Point of interest*:</t>
  </si>
  <si>
    <t>Constant of Integration</t>
  </si>
  <si>
    <t>Non-Dimensional Quantities</t>
  </si>
  <si>
    <t>Roll Angle, β</t>
  </si>
  <si>
    <r>
      <t xml:space="preserve">0 </t>
    </r>
    <r>
      <rPr>
        <sz val="12"/>
        <color theme="1"/>
        <rFont val="Symbol"/>
        <family val="1"/>
        <charset val="2"/>
      </rPr>
      <t>£</t>
    </r>
    <r>
      <rPr>
        <sz val="12"/>
        <color theme="1"/>
        <rFont val="Times"/>
        <family val="1"/>
      </rPr>
      <t xml:space="preserve"> </t>
    </r>
    <r>
      <rPr>
        <sz val="12"/>
        <color theme="1"/>
        <rFont val="Symbol"/>
        <family val="1"/>
        <charset val="2"/>
      </rPr>
      <t>q</t>
    </r>
    <r>
      <rPr>
        <sz val="12"/>
        <color theme="1"/>
        <rFont val="Times"/>
        <family val="1"/>
      </rPr>
      <t xml:space="preserve"> &lt; </t>
    </r>
    <r>
      <rPr>
        <sz val="12"/>
        <color theme="1"/>
        <rFont val="Symbol"/>
        <family val="1"/>
        <charset val="2"/>
      </rPr>
      <t>g</t>
    </r>
  </si>
  <si>
    <r>
      <t>g</t>
    </r>
    <r>
      <rPr>
        <sz val="12"/>
        <color theme="1"/>
        <rFont val="Times"/>
        <family val="1"/>
      </rPr>
      <t xml:space="preserve"> &lt; </t>
    </r>
    <r>
      <rPr>
        <sz val="12"/>
        <color theme="1"/>
        <rFont val="Symbol"/>
        <family val="1"/>
        <charset val="2"/>
      </rPr>
      <t>q</t>
    </r>
    <r>
      <rPr>
        <sz val="12"/>
        <color theme="1"/>
        <rFont val="Times"/>
        <family val="1"/>
      </rPr>
      <t xml:space="preserve"> </t>
    </r>
    <r>
      <rPr>
        <sz val="12"/>
        <color theme="1"/>
        <rFont val="Symbol"/>
        <family val="1"/>
        <charset val="2"/>
      </rPr>
      <t>£</t>
    </r>
    <r>
      <rPr>
        <sz val="12"/>
        <color theme="1"/>
        <rFont val="Times"/>
        <family val="1"/>
      </rPr>
      <t xml:space="preserve"> </t>
    </r>
    <r>
      <rPr>
        <sz val="12"/>
        <color theme="1"/>
        <rFont val="Symbol"/>
        <family val="1"/>
        <charset val="2"/>
      </rPr>
      <t>a</t>
    </r>
  </si>
  <si>
    <r>
      <t>N</t>
    </r>
    <r>
      <rPr>
        <vertAlign val="subscript"/>
        <sz val="11"/>
        <color theme="1"/>
        <rFont val="Arial"/>
        <family val="2"/>
      </rPr>
      <t>x</t>
    </r>
  </si>
  <si>
    <r>
      <t>N</t>
    </r>
    <r>
      <rPr>
        <vertAlign val="subscript"/>
        <sz val="11"/>
        <color theme="1"/>
        <rFont val="Arial"/>
        <family val="2"/>
      </rPr>
      <t>y</t>
    </r>
  </si>
  <si>
    <r>
      <t>N</t>
    </r>
    <r>
      <rPr>
        <vertAlign val="subscript"/>
        <sz val="11"/>
        <color theme="1"/>
        <rFont val="Arial"/>
        <family val="2"/>
      </rPr>
      <t>z</t>
    </r>
  </si>
  <si>
    <r>
      <t>M</t>
    </r>
    <r>
      <rPr>
        <vertAlign val="subscript"/>
        <sz val="11"/>
        <color theme="1"/>
        <rFont val="Arial"/>
        <family val="2"/>
      </rPr>
      <t>x</t>
    </r>
  </si>
  <si>
    <r>
      <t>M</t>
    </r>
    <r>
      <rPr>
        <vertAlign val="subscript"/>
        <sz val="11"/>
        <color theme="1"/>
        <rFont val="Arial"/>
        <family val="2"/>
      </rPr>
      <t>y</t>
    </r>
  </si>
  <si>
    <r>
      <t>M</t>
    </r>
    <r>
      <rPr>
        <vertAlign val="subscript"/>
        <sz val="11"/>
        <color theme="1"/>
        <rFont val="Arial"/>
        <family val="2"/>
      </rPr>
      <t>z</t>
    </r>
  </si>
  <si>
    <r>
      <t>n</t>
    </r>
    <r>
      <rPr>
        <vertAlign val="subscript"/>
        <sz val="11"/>
        <color theme="1"/>
        <rFont val="Arial"/>
        <family val="2"/>
      </rPr>
      <t>x</t>
    </r>
  </si>
  <si>
    <r>
      <t>n</t>
    </r>
    <r>
      <rPr>
        <vertAlign val="subscript"/>
        <sz val="11"/>
        <color theme="1"/>
        <rFont val="Arial"/>
        <family val="2"/>
      </rPr>
      <t>y</t>
    </r>
  </si>
  <si>
    <r>
      <t>n</t>
    </r>
    <r>
      <rPr>
        <vertAlign val="subscript"/>
        <sz val="11"/>
        <color theme="1"/>
        <rFont val="Arial"/>
        <family val="2"/>
      </rPr>
      <t>z</t>
    </r>
  </si>
  <si>
    <r>
      <t>m</t>
    </r>
    <r>
      <rPr>
        <vertAlign val="subscript"/>
        <sz val="11"/>
        <color theme="1"/>
        <rFont val="Arial"/>
        <family val="2"/>
      </rPr>
      <t>x</t>
    </r>
  </si>
  <si>
    <r>
      <t>m</t>
    </r>
    <r>
      <rPr>
        <vertAlign val="subscript"/>
        <sz val="11"/>
        <color theme="1"/>
        <rFont val="Arial"/>
        <family val="2"/>
      </rPr>
      <t>y</t>
    </r>
  </si>
  <si>
    <r>
      <t>m</t>
    </r>
    <r>
      <rPr>
        <vertAlign val="subscript"/>
        <sz val="11"/>
        <color theme="1"/>
        <rFont val="Arial"/>
        <family val="2"/>
      </rPr>
      <t>z</t>
    </r>
  </si>
  <si>
    <t>RESULTS:</t>
  </si>
  <si>
    <t>Internal Forces:</t>
  </si>
  <si>
    <t>Internal Moments:</t>
  </si>
  <si>
    <t>radians</t>
  </si>
  <si>
    <t>Deflections:</t>
  </si>
  <si>
    <t>degrees</t>
  </si>
  <si>
    <t>x</t>
  </si>
  <si>
    <t>No.</t>
  </si>
  <si>
    <r>
      <t>M</t>
    </r>
    <r>
      <rPr>
        <b/>
        <vertAlign val="subscript"/>
        <sz val="11"/>
        <color theme="1"/>
        <rFont val="Arial"/>
        <family val="2"/>
      </rPr>
      <t>y</t>
    </r>
  </si>
  <si>
    <r>
      <t>M</t>
    </r>
    <r>
      <rPr>
        <b/>
        <vertAlign val="subscript"/>
        <sz val="11"/>
        <color theme="1"/>
        <rFont val="Arial"/>
        <family val="2"/>
      </rPr>
      <t>x</t>
    </r>
  </si>
  <si>
    <r>
      <t>M</t>
    </r>
    <r>
      <rPr>
        <b/>
        <vertAlign val="subscript"/>
        <sz val="11"/>
        <color theme="1"/>
        <rFont val="Arial"/>
        <family val="2"/>
      </rPr>
      <t>z</t>
    </r>
  </si>
  <si>
    <t>ψ</t>
  </si>
  <si>
    <r>
      <t xml:space="preserve">Twist Angle, </t>
    </r>
    <r>
      <rPr>
        <b/>
        <sz val="11"/>
        <color theme="1"/>
        <rFont val="Calibri"/>
        <family val="2"/>
      </rPr>
      <t>φ</t>
    </r>
    <r>
      <rPr>
        <b/>
        <sz val="11"/>
        <color theme="1"/>
        <rFont val="Arial"/>
        <family val="2"/>
      </rPr>
      <t>:</t>
    </r>
  </si>
  <si>
    <t>kPa</t>
  </si>
  <si>
    <t>m</t>
  </si>
  <si>
    <r>
      <t>m</t>
    </r>
    <r>
      <rPr>
        <vertAlign val="superscript"/>
        <sz val="11"/>
        <color theme="1"/>
        <rFont val="Arial"/>
        <family val="2"/>
      </rPr>
      <t>2</t>
    </r>
  </si>
  <si>
    <r>
      <t>m</t>
    </r>
    <r>
      <rPr>
        <vertAlign val="superscript"/>
        <sz val="11"/>
        <color theme="1"/>
        <rFont val="Arial"/>
        <family val="2"/>
      </rPr>
      <t>4</t>
    </r>
  </si>
  <si>
    <r>
      <t>m</t>
    </r>
    <r>
      <rPr>
        <vertAlign val="superscript"/>
        <sz val="11"/>
        <color theme="1"/>
        <rFont val="Arial"/>
        <family val="2"/>
      </rPr>
      <t>6</t>
    </r>
  </si>
  <si>
    <t>kN/m</t>
  </si>
  <si>
    <t>kN</t>
  </si>
  <si>
    <t>kN-m</t>
  </si>
  <si>
    <t>cm</t>
  </si>
  <si>
    <t>About:</t>
  </si>
  <si>
    <r>
      <t>Modulus of Elasticity,</t>
    </r>
    <r>
      <rPr>
        <i/>
        <sz val="11"/>
        <color theme="1"/>
        <rFont val="Arial"/>
        <family val="2"/>
      </rPr>
      <t xml:space="preserve"> E</t>
    </r>
  </si>
  <si>
    <r>
      <t>Poisson's Ratio,</t>
    </r>
    <r>
      <rPr>
        <i/>
        <sz val="11"/>
        <color theme="1"/>
        <rFont val="Arial"/>
        <family val="2"/>
      </rPr>
      <t xml:space="preserve"> </t>
    </r>
    <r>
      <rPr>
        <i/>
        <sz val="11"/>
        <color theme="1"/>
        <rFont val="Calibri"/>
        <family val="2"/>
      </rPr>
      <t>ν</t>
    </r>
  </si>
  <si>
    <r>
      <t xml:space="preserve">Specific Gravity, </t>
    </r>
    <r>
      <rPr>
        <i/>
        <sz val="11"/>
        <color theme="1"/>
        <rFont val="Arial"/>
        <family val="2"/>
      </rPr>
      <t>SG</t>
    </r>
  </si>
  <si>
    <r>
      <t>Modulus of Rigidity,</t>
    </r>
    <r>
      <rPr>
        <i/>
        <sz val="11"/>
        <color theme="1"/>
        <rFont val="Arial"/>
        <family val="2"/>
      </rPr>
      <t xml:space="preserve"> G</t>
    </r>
  </si>
  <si>
    <r>
      <t xml:space="preserve">Length, </t>
    </r>
    <r>
      <rPr>
        <i/>
        <sz val="11"/>
        <color theme="1"/>
        <rFont val="Arial"/>
        <family val="2"/>
      </rPr>
      <t>L</t>
    </r>
  </si>
  <si>
    <r>
      <t xml:space="preserve">Area, </t>
    </r>
    <r>
      <rPr>
        <i/>
        <sz val="11"/>
        <color theme="1"/>
        <rFont val="Arial"/>
        <family val="2"/>
      </rPr>
      <t>A</t>
    </r>
  </si>
  <si>
    <r>
      <t xml:space="preserve">Moment of Inertia (strong axis), </t>
    </r>
    <r>
      <rPr>
        <i/>
        <sz val="11"/>
        <color theme="1"/>
        <rFont val="Arial"/>
        <family val="2"/>
      </rPr>
      <t>I</t>
    </r>
    <r>
      <rPr>
        <i/>
        <vertAlign val="subscript"/>
        <sz val="11"/>
        <color theme="1"/>
        <rFont val="Arial"/>
        <family val="2"/>
      </rPr>
      <t>z</t>
    </r>
  </si>
  <si>
    <r>
      <t xml:space="preserve">Moment of Inertia (weak axis), </t>
    </r>
    <r>
      <rPr>
        <i/>
        <sz val="11"/>
        <color theme="1"/>
        <rFont val="Arial"/>
        <family val="2"/>
      </rPr>
      <t>I</t>
    </r>
    <r>
      <rPr>
        <i/>
        <vertAlign val="subscript"/>
        <sz val="11"/>
        <color theme="1"/>
        <rFont val="Arial"/>
        <family val="2"/>
      </rPr>
      <t>y</t>
    </r>
  </si>
  <si>
    <r>
      <t xml:space="preserve">Warping Constant, </t>
    </r>
    <r>
      <rPr>
        <i/>
        <sz val="11"/>
        <color theme="1"/>
        <rFont val="Arial"/>
        <family val="2"/>
      </rPr>
      <t>C</t>
    </r>
    <r>
      <rPr>
        <i/>
        <vertAlign val="subscript"/>
        <sz val="11"/>
        <color theme="1"/>
        <rFont val="Arial"/>
        <family val="2"/>
      </rPr>
      <t>w</t>
    </r>
  </si>
  <si>
    <r>
      <t xml:space="preserve">Torsion Constant, </t>
    </r>
    <r>
      <rPr>
        <i/>
        <sz val="11"/>
        <color theme="1"/>
        <rFont val="Arial"/>
        <family val="2"/>
      </rPr>
      <t>J</t>
    </r>
  </si>
  <si>
    <r>
      <t xml:space="preserve">Roll Axis Height, </t>
    </r>
    <r>
      <rPr>
        <i/>
        <sz val="11"/>
        <color theme="1"/>
        <rFont val="Arial"/>
        <family val="2"/>
      </rPr>
      <t>H</t>
    </r>
  </si>
  <si>
    <r>
      <t xml:space="preserve">Inclination Angle of Cables, </t>
    </r>
    <r>
      <rPr>
        <i/>
        <sz val="11"/>
        <color theme="1"/>
        <rFont val="Calibri"/>
        <family val="2"/>
      </rPr>
      <t>ψ</t>
    </r>
  </si>
  <si>
    <r>
      <t>Overhang Length,</t>
    </r>
    <r>
      <rPr>
        <i/>
        <sz val="11"/>
        <color theme="1"/>
        <rFont val="Arial"/>
        <family val="2"/>
      </rPr>
      <t xml:space="preserve"> a</t>
    </r>
  </si>
  <si>
    <r>
      <t xml:space="preserve">Lift supports eccentricity, </t>
    </r>
    <r>
      <rPr>
        <i/>
        <sz val="11"/>
        <color theme="1"/>
        <rFont val="Arial"/>
        <family val="2"/>
      </rPr>
      <t>e</t>
    </r>
    <r>
      <rPr>
        <i/>
        <vertAlign val="subscript"/>
        <sz val="11"/>
        <color theme="1"/>
        <rFont val="Arial"/>
        <family val="2"/>
      </rPr>
      <t>s</t>
    </r>
  </si>
  <si>
    <r>
      <t xml:space="preserve">Self Weight, </t>
    </r>
    <r>
      <rPr>
        <i/>
        <sz val="11"/>
        <color theme="1"/>
        <rFont val="Arial"/>
        <family val="2"/>
      </rPr>
      <t>w</t>
    </r>
  </si>
  <si>
    <r>
      <t xml:space="preserve">Sweep Imperfection, </t>
    </r>
    <r>
      <rPr>
        <i/>
        <sz val="11"/>
        <color theme="1"/>
        <rFont val="Calibri"/>
        <family val="2"/>
      </rPr>
      <t>δ</t>
    </r>
    <r>
      <rPr>
        <i/>
        <sz val="11"/>
        <color theme="1"/>
        <rFont val="Arial"/>
        <family val="2"/>
      </rPr>
      <t>/L</t>
    </r>
    <r>
      <rPr>
        <sz val="11"/>
        <color theme="1"/>
        <rFont val="Arial"/>
        <family val="2"/>
      </rPr>
      <t>:</t>
    </r>
  </si>
  <si>
    <r>
      <t xml:space="preserve">Roll Angle, </t>
    </r>
    <r>
      <rPr>
        <b/>
        <i/>
        <sz val="11"/>
        <color theme="1"/>
        <rFont val="Arial"/>
        <family val="2"/>
      </rPr>
      <t>β</t>
    </r>
    <r>
      <rPr>
        <b/>
        <sz val="11"/>
        <color theme="1"/>
        <rFont val="Calibri"/>
        <family val="2"/>
      </rPr>
      <t>:</t>
    </r>
  </si>
  <si>
    <r>
      <rPr>
        <i/>
        <sz val="11"/>
        <color theme="1"/>
        <rFont val="Arial"/>
        <family val="2"/>
      </rPr>
      <t>N</t>
    </r>
    <r>
      <rPr>
        <i/>
        <vertAlign val="subscript"/>
        <sz val="11"/>
        <color theme="1"/>
        <rFont val="Arial"/>
        <family val="2"/>
      </rPr>
      <t>x</t>
    </r>
    <r>
      <rPr>
        <vertAlign val="subscript"/>
        <sz val="11"/>
        <color theme="1"/>
        <rFont val="Arial"/>
        <family val="2"/>
      </rPr>
      <t xml:space="preserve"> </t>
    </r>
    <r>
      <rPr>
        <sz val="9"/>
        <color theme="1"/>
        <rFont val="Arial"/>
        <family val="2"/>
      </rPr>
      <t>(longitudinal)</t>
    </r>
  </si>
  <si>
    <r>
      <rPr>
        <i/>
        <sz val="11"/>
        <color theme="1"/>
        <rFont val="Arial"/>
        <family val="2"/>
      </rPr>
      <t>M</t>
    </r>
    <r>
      <rPr>
        <i/>
        <vertAlign val="subscript"/>
        <sz val="11"/>
        <color theme="1"/>
        <rFont val="Arial"/>
        <family val="2"/>
      </rPr>
      <t>x</t>
    </r>
    <r>
      <rPr>
        <vertAlign val="subscript"/>
        <sz val="11"/>
        <color theme="1"/>
        <rFont val="Arial"/>
        <family val="2"/>
      </rPr>
      <t xml:space="preserve"> </t>
    </r>
    <r>
      <rPr>
        <sz val="9"/>
        <color theme="1"/>
        <rFont val="Arial"/>
        <family val="2"/>
      </rPr>
      <t>(twisting moment)</t>
    </r>
  </si>
  <si>
    <r>
      <rPr>
        <i/>
        <sz val="11"/>
        <color theme="1"/>
        <rFont val="Arial"/>
        <family val="2"/>
      </rPr>
      <t>M</t>
    </r>
    <r>
      <rPr>
        <i/>
        <vertAlign val="subscript"/>
        <sz val="11"/>
        <color theme="1"/>
        <rFont val="Arial"/>
        <family val="2"/>
      </rPr>
      <t>y</t>
    </r>
    <r>
      <rPr>
        <vertAlign val="subscript"/>
        <sz val="11"/>
        <color theme="1"/>
        <rFont val="Arial"/>
        <family val="2"/>
      </rPr>
      <t xml:space="preserve"> </t>
    </r>
    <r>
      <rPr>
        <sz val="9"/>
        <color theme="1"/>
        <rFont val="Arial"/>
        <family val="2"/>
      </rPr>
      <t>(weak-axis bending)</t>
    </r>
  </si>
  <si>
    <r>
      <rPr>
        <i/>
        <sz val="11"/>
        <color theme="1"/>
        <rFont val="Arial"/>
        <family val="2"/>
      </rPr>
      <t>M</t>
    </r>
    <r>
      <rPr>
        <i/>
        <vertAlign val="subscript"/>
        <sz val="11"/>
        <color theme="1"/>
        <rFont val="Arial"/>
        <family val="2"/>
      </rPr>
      <t>z</t>
    </r>
    <r>
      <rPr>
        <vertAlign val="subscript"/>
        <sz val="11"/>
        <color theme="1"/>
        <rFont val="Arial"/>
        <family val="2"/>
      </rPr>
      <t xml:space="preserve"> </t>
    </r>
    <r>
      <rPr>
        <sz val="9"/>
        <color theme="1"/>
        <rFont val="Arial"/>
        <family val="2"/>
      </rPr>
      <t>(strong-axis bending)</t>
    </r>
  </si>
  <si>
    <r>
      <rPr>
        <i/>
        <sz val="11"/>
        <color theme="1"/>
        <rFont val="Arial"/>
        <family val="2"/>
      </rPr>
      <t>V</t>
    </r>
    <r>
      <rPr>
        <sz val="11"/>
        <color theme="1"/>
        <rFont val="Arial"/>
        <family val="2"/>
      </rPr>
      <t xml:space="preserve"> </t>
    </r>
    <r>
      <rPr>
        <sz val="9"/>
        <color theme="1"/>
        <rFont val="Arial"/>
        <family val="2"/>
      </rPr>
      <t>(Strong-Axis)</t>
    </r>
  </si>
  <si>
    <r>
      <rPr>
        <i/>
        <sz val="11"/>
        <color theme="1"/>
        <rFont val="Arial"/>
        <family val="2"/>
      </rPr>
      <t>W</t>
    </r>
    <r>
      <rPr>
        <sz val="11"/>
        <color theme="1"/>
        <rFont val="Arial"/>
        <family val="2"/>
      </rPr>
      <t xml:space="preserve"> </t>
    </r>
    <r>
      <rPr>
        <sz val="9"/>
        <color theme="1"/>
        <rFont val="Arial"/>
        <family val="2"/>
      </rPr>
      <t>(Weak-Axis)</t>
    </r>
  </si>
  <si>
    <t>r</t>
  </si>
  <si>
    <t>*Choose a location along the right half of the beam. Value must be between 0 (mid-span) and L/2 (end of beam).</t>
  </si>
  <si>
    <t xml:space="preserve">This spreadsheet has been created at Virginia Tech by Razvan Cojocaru and Dr. Cristopher Moen (cojocaru@vt.edu, cmoen@vt.edu ).  The equations used in this spreadsheet are based on the prediction method in Plaut, R. H., and Moen, C. D. (2012). "Analysis of elastic, doubly symmetric, horizontally curved beams during lifting." J. Struct. Eng., to appear.  </t>
  </si>
  <si>
    <r>
      <rPr>
        <i/>
        <sz val="11"/>
        <color theme="1"/>
        <rFont val="Arial"/>
        <family val="2"/>
      </rPr>
      <t>N</t>
    </r>
    <r>
      <rPr>
        <i/>
        <vertAlign val="subscript"/>
        <sz val="11"/>
        <color theme="1"/>
        <rFont val="Arial"/>
        <family val="2"/>
      </rPr>
      <t>y</t>
    </r>
    <r>
      <rPr>
        <vertAlign val="subscript"/>
        <sz val="11"/>
        <color theme="1"/>
        <rFont val="Arial"/>
        <family val="2"/>
      </rPr>
      <t xml:space="preserve"> </t>
    </r>
    <r>
      <rPr>
        <sz val="9"/>
        <color theme="1"/>
        <rFont val="Arial"/>
        <family val="2"/>
      </rPr>
      <t>(strong-axis shear)</t>
    </r>
  </si>
  <si>
    <r>
      <rPr>
        <i/>
        <sz val="11"/>
        <color theme="1"/>
        <rFont val="Arial"/>
        <family val="2"/>
      </rPr>
      <t>N</t>
    </r>
    <r>
      <rPr>
        <i/>
        <vertAlign val="subscript"/>
        <sz val="11"/>
        <color theme="1"/>
        <rFont val="Arial"/>
        <family val="2"/>
      </rPr>
      <t>z</t>
    </r>
    <r>
      <rPr>
        <vertAlign val="subscript"/>
        <sz val="11"/>
        <color theme="1"/>
        <rFont val="Arial"/>
        <family val="2"/>
      </rPr>
      <t xml:space="preserve"> </t>
    </r>
    <r>
      <rPr>
        <sz val="9"/>
        <color theme="1"/>
        <rFont val="Arial"/>
        <family val="2"/>
      </rPr>
      <t>(weak-axis shear)</t>
    </r>
  </si>
  <si>
    <t>SWEEP</t>
  </si>
  <si>
    <t>ECCENTRICITY OF LIFT SUPPORTS</t>
  </si>
  <si>
    <t>ROLL ANGLE</t>
  </si>
  <si>
    <t>DEFLECTIONS, SHEAR, MOMENTS, AND TWIST</t>
  </si>
  <si>
    <t>SELF-WEIGHT, AND QUANTITIES DESCRIBING PROPERTIES OF LIFTING DEVICES</t>
  </si>
</sst>
</file>

<file path=xl/styles.xml><?xml version="1.0" encoding="utf-8"?>
<styleSheet xmlns="http://schemas.openxmlformats.org/spreadsheetml/2006/main">
  <numFmts count="5">
    <numFmt numFmtId="164" formatCode="0.0000"/>
    <numFmt numFmtId="165" formatCode="0.000"/>
    <numFmt numFmtId="166" formatCode="0.000000"/>
    <numFmt numFmtId="167" formatCode="0.000000000"/>
    <numFmt numFmtId="168" formatCode="0.0"/>
  </numFmts>
  <fonts count="20">
    <font>
      <sz val="11"/>
      <color theme="1"/>
      <name val="Calibri"/>
      <family val="2"/>
      <scheme val="minor"/>
    </font>
    <font>
      <b/>
      <sz val="11"/>
      <color theme="1"/>
      <name val="Arial"/>
      <family val="2"/>
    </font>
    <font>
      <sz val="11"/>
      <color theme="1"/>
      <name val="Arial"/>
      <family val="2"/>
    </font>
    <font>
      <vertAlign val="subscript"/>
      <sz val="11"/>
      <color theme="1"/>
      <name val="Arial"/>
      <family val="2"/>
    </font>
    <font>
      <sz val="8"/>
      <color theme="1"/>
      <name val="Arial"/>
      <family val="2"/>
    </font>
    <font>
      <sz val="12"/>
      <color theme="1"/>
      <name val="Times"/>
      <family val="1"/>
    </font>
    <font>
      <sz val="12"/>
      <color theme="1"/>
      <name val="Symbol"/>
      <family val="1"/>
      <charset val="2"/>
    </font>
    <font>
      <b/>
      <sz val="11"/>
      <color theme="1"/>
      <name val="Calibri"/>
      <family val="2"/>
    </font>
    <font>
      <b/>
      <sz val="11"/>
      <name val="Arial"/>
      <family val="2"/>
    </font>
    <font>
      <b/>
      <vertAlign val="subscript"/>
      <sz val="11"/>
      <color theme="1"/>
      <name val="Arial"/>
      <family val="2"/>
    </font>
    <font>
      <vertAlign val="superscript"/>
      <sz val="11"/>
      <color theme="1"/>
      <name val="Arial"/>
      <family val="2"/>
    </font>
    <font>
      <sz val="9"/>
      <color theme="1"/>
      <name val="Arial"/>
      <family val="2"/>
    </font>
    <font>
      <b/>
      <sz val="14"/>
      <name val="Arial"/>
      <family val="2"/>
    </font>
    <font>
      <sz val="11"/>
      <color rgb="FFFF0000"/>
      <name val="Arial"/>
      <family val="2"/>
    </font>
    <font>
      <b/>
      <sz val="11"/>
      <color rgb="FFFF0000"/>
      <name val="Arial"/>
      <family val="2"/>
    </font>
    <font>
      <i/>
      <sz val="11"/>
      <color theme="1"/>
      <name val="Arial"/>
      <family val="2"/>
    </font>
    <font>
      <i/>
      <sz val="11"/>
      <color theme="1"/>
      <name val="Calibri"/>
      <family val="2"/>
    </font>
    <font>
      <i/>
      <vertAlign val="subscript"/>
      <sz val="11"/>
      <color theme="1"/>
      <name val="Arial"/>
      <family val="2"/>
    </font>
    <font>
      <b/>
      <i/>
      <sz val="11"/>
      <color theme="1"/>
      <name val="Arial"/>
      <family val="2"/>
    </font>
    <font>
      <b/>
      <sz val="14"/>
      <color theme="1"/>
      <name val="Calibri"/>
      <family val="2"/>
      <scheme val="minor"/>
    </font>
  </fonts>
  <fills count="16">
    <fill>
      <patternFill patternType="none"/>
    </fill>
    <fill>
      <patternFill patternType="gray125"/>
    </fill>
    <fill>
      <patternFill patternType="solid">
        <fgColor rgb="FF00FF00"/>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4" tint="0.79998168889431442"/>
        <bgColor indexed="64"/>
      </patternFill>
    </fill>
    <fill>
      <patternFill patternType="solid">
        <fgColor theme="4" tint="0.59999389629810485"/>
        <bgColor indexed="64"/>
      </patternFill>
    </fill>
  </fills>
  <borders count="24">
    <border>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1">
    <xf numFmtId="0" fontId="0" fillId="0" borderId="0"/>
  </cellStyleXfs>
  <cellXfs count="164">
    <xf numFmtId="0" fontId="0" fillId="0" borderId="0" xfId="0"/>
    <xf numFmtId="0" fontId="2" fillId="0" borderId="0" xfId="0" applyFont="1"/>
    <xf numFmtId="0" fontId="2" fillId="3" borderId="0" xfId="0" applyFont="1" applyFill="1" applyAlignment="1">
      <alignment vertical="center"/>
    </xf>
    <xf numFmtId="0" fontId="1" fillId="3" borderId="0" xfId="0" applyFont="1" applyFill="1" applyAlignment="1">
      <alignment horizontal="left" vertical="center"/>
    </xf>
    <xf numFmtId="0" fontId="2" fillId="3" borderId="0" xfId="0" applyFont="1" applyFill="1" applyAlignment="1">
      <alignment horizontal="center" vertical="center"/>
    </xf>
    <xf numFmtId="0" fontId="2" fillId="3" borderId="0" xfId="0" applyFont="1" applyFill="1" applyAlignment="1">
      <alignment horizontal="left" vertical="center"/>
    </xf>
    <xf numFmtId="2" fontId="2" fillId="3" borderId="0" xfId="0" applyNumberFormat="1" applyFont="1" applyFill="1" applyAlignment="1">
      <alignment vertical="center"/>
    </xf>
    <xf numFmtId="0" fontId="2" fillId="5" borderId="0" xfId="0" applyFont="1" applyFill="1" applyBorder="1" applyAlignment="1">
      <alignment vertical="center"/>
    </xf>
    <xf numFmtId="0" fontId="2" fillId="7" borderId="0" xfId="0" applyFont="1" applyFill="1" applyBorder="1" applyAlignment="1">
      <alignment vertical="center"/>
    </xf>
    <xf numFmtId="164" fontId="2" fillId="7" borderId="0" xfId="0" applyNumberFormat="1" applyFont="1" applyFill="1" applyBorder="1" applyAlignment="1">
      <alignment vertical="center"/>
    </xf>
    <xf numFmtId="0" fontId="2" fillId="5" borderId="2" xfId="0" applyFont="1" applyFill="1" applyBorder="1" applyAlignment="1">
      <alignment vertical="center"/>
    </xf>
    <xf numFmtId="0" fontId="2" fillId="7" borderId="2" xfId="0" applyFont="1" applyFill="1" applyBorder="1" applyAlignment="1">
      <alignment vertical="center"/>
    </xf>
    <xf numFmtId="0" fontId="2" fillId="9" borderId="0" xfId="0" applyFont="1" applyFill="1" applyBorder="1" applyAlignment="1">
      <alignment horizontal="center" vertical="center"/>
    </xf>
    <xf numFmtId="0" fontId="2" fillId="13" borderId="9" xfId="0" applyFont="1" applyFill="1" applyBorder="1"/>
    <xf numFmtId="0" fontId="2" fillId="13" borderId="10" xfId="0" applyFont="1" applyFill="1" applyBorder="1"/>
    <xf numFmtId="0" fontId="2" fillId="0" borderId="0" xfId="0" applyFont="1" applyBorder="1"/>
    <xf numFmtId="0" fontId="2" fillId="13" borderId="7" xfId="0" applyFont="1" applyFill="1" applyBorder="1"/>
    <xf numFmtId="0" fontId="2" fillId="13" borderId="8" xfId="0" applyFont="1" applyFill="1" applyBorder="1"/>
    <xf numFmtId="0" fontId="2" fillId="0" borderId="0" xfId="0" applyFont="1" applyFill="1"/>
    <xf numFmtId="0" fontId="2" fillId="2" borderId="9" xfId="0" applyFont="1" applyFill="1" applyBorder="1"/>
    <xf numFmtId="0" fontId="2" fillId="2" borderId="10" xfId="0" applyFont="1" applyFill="1" applyBorder="1"/>
    <xf numFmtId="0" fontId="2" fillId="2" borderId="1" xfId="0" applyFont="1" applyFill="1" applyBorder="1"/>
    <xf numFmtId="0" fontId="2" fillId="2" borderId="3" xfId="0" applyFont="1" applyFill="1" applyBorder="1"/>
    <xf numFmtId="0" fontId="2" fillId="13" borderId="1" xfId="0" applyFont="1" applyFill="1" applyBorder="1"/>
    <xf numFmtId="0" fontId="2" fillId="13" borderId="3" xfId="0" applyFont="1" applyFill="1" applyBorder="1"/>
    <xf numFmtId="0" fontId="2" fillId="4" borderId="7" xfId="0" applyFont="1" applyFill="1" applyBorder="1"/>
    <xf numFmtId="0" fontId="2" fillId="4" borderId="8" xfId="0" applyFont="1" applyFill="1" applyBorder="1"/>
    <xf numFmtId="0" fontId="2" fillId="4" borderId="1" xfId="0" applyFont="1" applyFill="1" applyBorder="1"/>
    <xf numFmtId="0" fontId="2" fillId="6" borderId="9" xfId="0" applyFont="1" applyFill="1" applyBorder="1"/>
    <xf numFmtId="0" fontId="2" fillId="6" borderId="10" xfId="0" applyFont="1" applyFill="1" applyBorder="1"/>
    <xf numFmtId="0" fontId="2" fillId="6" borderId="7" xfId="0" applyFont="1" applyFill="1" applyBorder="1"/>
    <xf numFmtId="0" fontId="2" fillId="6" borderId="8" xfId="0" applyFont="1" applyFill="1" applyBorder="1"/>
    <xf numFmtId="0" fontId="2" fillId="6" borderId="1" xfId="0" applyFont="1" applyFill="1" applyBorder="1"/>
    <xf numFmtId="0" fontId="2" fillId="8" borderId="4" xfId="0" applyFont="1" applyFill="1" applyBorder="1"/>
    <xf numFmtId="0" fontId="2" fillId="8" borderId="6" xfId="0" applyFont="1" applyFill="1" applyBorder="1"/>
    <xf numFmtId="0" fontId="6" fillId="0" borderId="0" xfId="0" applyFont="1"/>
    <xf numFmtId="0" fontId="2" fillId="0" borderId="0" xfId="0" applyFont="1" applyAlignment="1"/>
    <xf numFmtId="0" fontId="2" fillId="14" borderId="7" xfId="0" applyFont="1" applyFill="1" applyBorder="1"/>
    <xf numFmtId="0" fontId="2" fillId="0" borderId="0" xfId="0" applyFont="1" applyFill="1" applyBorder="1"/>
    <xf numFmtId="0" fontId="2" fillId="0" borderId="0" xfId="0" applyFont="1" applyFill="1" applyBorder="1" applyAlignment="1"/>
    <xf numFmtId="0" fontId="2" fillId="10" borderId="7" xfId="0" applyFont="1" applyFill="1" applyBorder="1"/>
    <xf numFmtId="0" fontId="2" fillId="10" borderId="8" xfId="0" applyFont="1" applyFill="1" applyBorder="1"/>
    <xf numFmtId="0" fontId="2" fillId="10" borderId="0" xfId="0" applyFont="1" applyFill="1" applyBorder="1"/>
    <xf numFmtId="0" fontId="2" fillId="10" borderId="1" xfId="0" applyFont="1" applyFill="1" applyBorder="1"/>
    <xf numFmtId="0" fontId="2" fillId="10" borderId="3" xfId="0" applyFont="1" applyFill="1" applyBorder="1"/>
    <xf numFmtId="0" fontId="2" fillId="10" borderId="2" xfId="0" applyFont="1" applyFill="1" applyBorder="1"/>
    <xf numFmtId="0" fontId="2" fillId="4" borderId="3" xfId="0" applyFont="1" applyFill="1" applyBorder="1"/>
    <xf numFmtId="0" fontId="2" fillId="3" borderId="2" xfId="0" applyFont="1" applyFill="1" applyBorder="1" applyAlignment="1">
      <alignment vertical="center"/>
    </xf>
    <xf numFmtId="0" fontId="2" fillId="5" borderId="8" xfId="0" applyNumberFormat="1" applyFont="1" applyFill="1" applyBorder="1" applyAlignment="1">
      <alignment horizontal="center" vertical="center"/>
    </xf>
    <xf numFmtId="0" fontId="2" fillId="5" borderId="3" xfId="0" applyNumberFormat="1" applyFont="1" applyFill="1" applyBorder="1" applyAlignment="1">
      <alignment horizontal="center" vertical="center"/>
    </xf>
    <xf numFmtId="0" fontId="2" fillId="7" borderId="8" xfId="0" applyNumberFormat="1" applyFont="1" applyFill="1" applyBorder="1" applyAlignment="1">
      <alignment horizontal="center" vertical="center"/>
    </xf>
    <xf numFmtId="0" fontId="2" fillId="9" borderId="0" xfId="0" applyFont="1" applyFill="1" applyBorder="1" applyAlignment="1">
      <alignment vertical="center"/>
    </xf>
    <xf numFmtId="0" fontId="8" fillId="8" borderId="5" xfId="0" applyFont="1" applyFill="1" applyBorder="1" applyAlignment="1">
      <alignment vertical="center"/>
    </xf>
    <xf numFmtId="0" fontId="1" fillId="0" borderId="5"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2" fillId="0" borderId="11" xfId="0" applyFont="1" applyBorder="1"/>
    <xf numFmtId="166" fontId="2" fillId="0" borderId="11" xfId="0" applyNumberFormat="1" applyFont="1" applyBorder="1"/>
    <xf numFmtId="0" fontId="2" fillId="0" borderId="10" xfId="0" applyFont="1" applyBorder="1"/>
    <xf numFmtId="166" fontId="2" fillId="0" borderId="0" xfId="0" applyNumberFormat="1" applyFont="1" applyBorder="1"/>
    <xf numFmtId="0" fontId="2" fillId="0" borderId="8" xfId="0" applyFont="1" applyBorder="1"/>
    <xf numFmtId="0" fontId="2" fillId="0" borderId="2" xfId="0" applyFont="1" applyBorder="1"/>
    <xf numFmtId="166" fontId="2" fillId="0" borderId="2" xfId="0" applyNumberFormat="1" applyFont="1" applyBorder="1"/>
    <xf numFmtId="0" fontId="2" fillId="0" borderId="3" xfId="0" applyFont="1" applyBorder="1"/>
    <xf numFmtId="0" fontId="2" fillId="0" borderId="13" xfId="0" applyFont="1" applyBorder="1"/>
    <xf numFmtId="0" fontId="2" fillId="0" borderId="14" xfId="0" applyFont="1" applyBorder="1"/>
    <xf numFmtId="0" fontId="2" fillId="0" borderId="15" xfId="0" applyFont="1" applyBorder="1"/>
    <xf numFmtId="0" fontId="1" fillId="0" borderId="12" xfId="0" applyFont="1" applyBorder="1" applyAlignment="1">
      <alignment horizontal="center" vertical="center"/>
    </xf>
    <xf numFmtId="0" fontId="8" fillId="8" borderId="6" xfId="0" applyFont="1" applyFill="1" applyBorder="1" applyAlignment="1">
      <alignment vertical="center"/>
    </xf>
    <xf numFmtId="0" fontId="2" fillId="9" borderId="7" xfId="0" applyFont="1" applyFill="1" applyBorder="1" applyAlignment="1">
      <alignment vertical="center"/>
    </xf>
    <xf numFmtId="0" fontId="2" fillId="9" borderId="8" xfId="0" applyFont="1" applyFill="1" applyBorder="1" applyAlignment="1">
      <alignment vertical="center"/>
    </xf>
    <xf numFmtId="167" fontId="2" fillId="6" borderId="3" xfId="0" applyNumberFormat="1" applyFont="1" applyFill="1" applyBorder="1"/>
    <xf numFmtId="11" fontId="2" fillId="14" borderId="8" xfId="0" applyNumberFormat="1" applyFont="1" applyFill="1" applyBorder="1"/>
    <xf numFmtId="11" fontId="2" fillId="14" borderId="3" xfId="0" applyNumberFormat="1" applyFont="1" applyFill="1" applyBorder="1"/>
    <xf numFmtId="11" fontId="2" fillId="14" borderId="10" xfId="0" applyNumberFormat="1" applyFont="1" applyFill="1" applyBorder="1"/>
    <xf numFmtId="0" fontId="0" fillId="3" borderId="0" xfId="0" applyFill="1"/>
    <xf numFmtId="0" fontId="2" fillId="11" borderId="6" xfId="0" applyNumberFormat="1" applyFont="1" applyFill="1" applyBorder="1" applyAlignment="1">
      <alignment horizontal="left" vertical="center"/>
    </xf>
    <xf numFmtId="0" fontId="2" fillId="9" borderId="8" xfId="0" applyFont="1" applyFill="1" applyBorder="1" applyAlignment="1">
      <alignment horizontal="left" vertical="center"/>
    </xf>
    <xf numFmtId="0" fontId="2" fillId="9" borderId="10" xfId="0" applyFont="1" applyFill="1" applyBorder="1" applyAlignment="1">
      <alignment horizontal="left" vertical="center"/>
    </xf>
    <xf numFmtId="0" fontId="2" fillId="9" borderId="3" xfId="0" applyFont="1" applyFill="1" applyBorder="1" applyAlignment="1">
      <alignment horizontal="left" vertical="center"/>
    </xf>
    <xf numFmtId="2" fontId="2" fillId="11" borderId="5" xfId="0" applyNumberFormat="1" applyFont="1" applyFill="1" applyBorder="1" applyAlignment="1">
      <alignment horizontal="center" vertical="center"/>
    </xf>
    <xf numFmtId="165" fontId="8" fillId="9" borderId="11" xfId="0" applyNumberFormat="1" applyFont="1" applyFill="1" applyBorder="1" applyAlignment="1">
      <alignment horizontal="center" vertical="center"/>
    </xf>
    <xf numFmtId="2" fontId="8" fillId="9" borderId="0" xfId="0" applyNumberFormat="1" applyFont="1" applyFill="1" applyBorder="1" applyAlignment="1">
      <alignment horizontal="center" vertical="center"/>
    </xf>
    <xf numFmtId="165" fontId="8" fillId="9" borderId="0" xfId="0" applyNumberFormat="1" applyFont="1" applyFill="1" applyBorder="1" applyAlignment="1">
      <alignment horizontal="center" vertical="center"/>
    </xf>
    <xf numFmtId="168" fontId="8" fillId="9" borderId="0" xfId="0" applyNumberFormat="1" applyFont="1" applyFill="1" applyBorder="1" applyAlignment="1">
      <alignment horizontal="center" vertical="center"/>
    </xf>
    <xf numFmtId="164" fontId="8" fillId="9" borderId="2" xfId="0" applyNumberFormat="1" applyFont="1" applyFill="1" applyBorder="1" applyAlignment="1">
      <alignment horizontal="center" vertical="center"/>
    </xf>
    <xf numFmtId="11" fontId="2" fillId="10" borderId="8" xfId="0" applyNumberFormat="1" applyFont="1" applyFill="1" applyBorder="1"/>
    <xf numFmtId="0" fontId="2" fillId="3" borderId="0" xfId="0" applyFont="1" applyFill="1" applyBorder="1" applyAlignment="1">
      <alignment vertical="center"/>
    </xf>
    <xf numFmtId="0" fontId="4" fillId="3" borderId="0" xfId="0" applyFont="1" applyFill="1" applyBorder="1" applyAlignment="1">
      <alignment vertical="center"/>
    </xf>
    <xf numFmtId="0" fontId="2" fillId="5" borderId="11" xfId="0" applyFont="1" applyFill="1" applyBorder="1" applyAlignment="1">
      <alignment vertical="center"/>
    </xf>
    <xf numFmtId="0" fontId="2" fillId="5" borderId="10" xfId="0" applyNumberFormat="1" applyFont="1" applyFill="1" applyBorder="1" applyAlignment="1">
      <alignment horizontal="center" vertical="center"/>
    </xf>
    <xf numFmtId="0" fontId="14" fillId="3" borderId="0" xfId="0" applyFont="1" applyFill="1" applyAlignment="1">
      <alignment vertical="center"/>
    </xf>
    <xf numFmtId="0" fontId="2" fillId="7" borderId="3" xfId="0" applyFont="1" applyFill="1" applyBorder="1" applyAlignment="1">
      <alignment horizontal="center" vertical="center"/>
    </xf>
    <xf numFmtId="0" fontId="2" fillId="7" borderId="11" xfId="0" applyFont="1" applyFill="1" applyBorder="1" applyAlignment="1">
      <alignment vertical="center"/>
    </xf>
    <xf numFmtId="0" fontId="2" fillId="7" borderId="10" xfId="0" applyNumberFormat="1" applyFont="1" applyFill="1" applyBorder="1" applyAlignment="1">
      <alignment horizontal="center" vertical="center"/>
    </xf>
    <xf numFmtId="0" fontId="2" fillId="14" borderId="3" xfId="0" applyFont="1" applyFill="1" applyBorder="1"/>
    <xf numFmtId="0" fontId="2" fillId="4" borderId="9" xfId="0" applyFont="1" applyFill="1" applyBorder="1"/>
    <xf numFmtId="0" fontId="2" fillId="4" borderId="10" xfId="0" applyFont="1" applyFill="1" applyBorder="1"/>
    <xf numFmtId="0" fontId="0" fillId="14" borderId="1" xfId="0" applyFont="1" applyFill="1" applyBorder="1"/>
    <xf numFmtId="0" fontId="0" fillId="3" borderId="0" xfId="0" applyFill="1" applyBorder="1"/>
    <xf numFmtId="0" fontId="0" fillId="3" borderId="16" xfId="0" applyFill="1" applyBorder="1"/>
    <xf numFmtId="0" fontId="0" fillId="3" borderId="17" xfId="0" applyFill="1" applyBorder="1"/>
    <xf numFmtId="0" fontId="0" fillId="3" borderId="18" xfId="0" applyFill="1" applyBorder="1"/>
    <xf numFmtId="0" fontId="0" fillId="3" borderId="21" xfId="0" applyFill="1" applyBorder="1"/>
    <xf numFmtId="0" fontId="0" fillId="3" borderId="19" xfId="0" applyFill="1" applyBorder="1"/>
    <xf numFmtId="0" fontId="0" fillId="3" borderId="20" xfId="0" applyFill="1" applyBorder="1"/>
    <xf numFmtId="0" fontId="0" fillId="3" borderId="22" xfId="0" applyFill="1" applyBorder="1"/>
    <xf numFmtId="0" fontId="0" fillId="3" borderId="23" xfId="0" applyFill="1" applyBorder="1"/>
    <xf numFmtId="0" fontId="1" fillId="4" borderId="4" xfId="0" applyFont="1" applyFill="1" applyBorder="1" applyAlignment="1">
      <alignment horizontal="left" vertical="center"/>
    </xf>
    <xf numFmtId="0" fontId="1" fillId="4" borderId="5" xfId="0" applyFont="1" applyFill="1" applyBorder="1" applyAlignment="1">
      <alignment horizontal="left" vertical="center"/>
    </xf>
    <xf numFmtId="0" fontId="1" fillId="4" borderId="6" xfId="0" applyFont="1" applyFill="1" applyBorder="1" applyAlignment="1">
      <alignment horizontal="left" vertical="center"/>
    </xf>
    <xf numFmtId="0" fontId="2" fillId="5" borderId="9" xfId="0" applyFont="1" applyFill="1" applyBorder="1" applyAlignment="1">
      <alignment horizontal="left" vertical="center"/>
    </xf>
    <xf numFmtId="0" fontId="2" fillId="5" borderId="11" xfId="0" applyFont="1" applyFill="1" applyBorder="1" applyAlignment="1">
      <alignment horizontal="left" vertical="center"/>
    </xf>
    <xf numFmtId="0" fontId="2" fillId="5" borderId="7" xfId="0" applyFont="1" applyFill="1" applyBorder="1" applyAlignment="1">
      <alignment horizontal="left" vertical="center"/>
    </xf>
    <xf numFmtId="0" fontId="2" fillId="5" borderId="0" xfId="0" applyFont="1" applyFill="1" applyBorder="1" applyAlignment="1">
      <alignment horizontal="left" vertical="center"/>
    </xf>
    <xf numFmtId="0" fontId="2" fillId="9" borderId="7" xfId="0" applyFont="1" applyFill="1" applyBorder="1" applyAlignment="1">
      <alignment horizontal="left" vertical="center"/>
    </xf>
    <xf numFmtId="0" fontId="2" fillId="9" borderId="0" xfId="0" applyFont="1" applyFill="1" applyBorder="1" applyAlignment="1">
      <alignment horizontal="left" vertical="center"/>
    </xf>
    <xf numFmtId="0" fontId="1" fillId="9" borderId="7" xfId="0" applyFont="1" applyFill="1" applyBorder="1" applyAlignment="1">
      <alignment horizontal="left" vertical="center"/>
    </xf>
    <xf numFmtId="0" fontId="1" fillId="9" borderId="0" xfId="0" applyFont="1" applyFill="1" applyBorder="1" applyAlignment="1">
      <alignment horizontal="left" vertical="center"/>
    </xf>
    <xf numFmtId="0" fontId="1" fillId="9" borderId="9" xfId="0" applyFont="1" applyFill="1" applyBorder="1" applyAlignment="1">
      <alignment horizontal="left" vertical="center"/>
    </xf>
    <xf numFmtId="0" fontId="1" fillId="9" borderId="11" xfId="0" applyFont="1" applyFill="1" applyBorder="1" applyAlignment="1">
      <alignment horizontal="left" vertical="center"/>
    </xf>
    <xf numFmtId="0" fontId="1" fillId="11" borderId="4" xfId="0" applyFont="1" applyFill="1" applyBorder="1" applyAlignment="1">
      <alignment horizontal="left" vertical="center"/>
    </xf>
    <xf numFmtId="0" fontId="1" fillId="11" borderId="5" xfId="0" applyFont="1" applyFill="1" applyBorder="1" applyAlignment="1">
      <alignment horizontal="left" vertical="center"/>
    </xf>
    <xf numFmtId="0" fontId="11" fillId="3" borderId="0" xfId="0" applyFont="1" applyFill="1" applyAlignment="1">
      <alignment horizontal="left" vertical="center" wrapText="1"/>
    </xf>
    <xf numFmtId="0" fontId="12" fillId="8" borderId="4" xfId="0" applyFont="1" applyFill="1" applyBorder="1" applyAlignment="1">
      <alignment horizontal="left" vertical="center"/>
    </xf>
    <xf numFmtId="0" fontId="12" fillId="8" borderId="5" xfId="0" applyFont="1" applyFill="1" applyBorder="1" applyAlignment="1">
      <alignment horizontal="left" vertical="center"/>
    </xf>
    <xf numFmtId="0" fontId="1" fillId="6" borderId="4" xfId="0" applyFont="1" applyFill="1" applyBorder="1" applyAlignment="1">
      <alignment horizontal="left" vertical="center"/>
    </xf>
    <xf numFmtId="0" fontId="1" fillId="6" borderId="5" xfId="0" applyFont="1" applyFill="1" applyBorder="1" applyAlignment="1">
      <alignment horizontal="left" vertical="center"/>
    </xf>
    <xf numFmtId="0" fontId="1" fillId="6" borderId="6" xfId="0" applyFont="1" applyFill="1" applyBorder="1" applyAlignment="1">
      <alignment horizontal="left" vertical="center"/>
    </xf>
    <xf numFmtId="0" fontId="2" fillId="5" borderId="1" xfId="0" applyFont="1" applyFill="1" applyBorder="1" applyAlignment="1">
      <alignment horizontal="left" vertical="center"/>
    </xf>
    <xf numFmtId="0" fontId="2" fillId="5" borderId="2" xfId="0" applyFont="1" applyFill="1" applyBorder="1" applyAlignment="1">
      <alignment horizontal="left" vertical="center"/>
    </xf>
    <xf numFmtId="0" fontId="13" fillId="3" borderId="0" xfId="0" applyFont="1" applyFill="1" applyAlignment="1">
      <alignment horizontal="left" vertical="center" wrapText="1"/>
    </xf>
    <xf numFmtId="0" fontId="2" fillId="7" borderId="7" xfId="0" applyFont="1" applyFill="1" applyBorder="1" applyAlignment="1">
      <alignment horizontal="left" vertical="center"/>
    </xf>
    <xf numFmtId="0" fontId="2" fillId="7" borderId="0" xfId="0" applyFont="1" applyFill="1" applyBorder="1" applyAlignment="1">
      <alignment horizontal="left" vertical="center"/>
    </xf>
    <xf numFmtId="0" fontId="1" fillId="9" borderId="1" xfId="0" applyFont="1" applyFill="1" applyBorder="1" applyAlignment="1">
      <alignment horizontal="left" vertical="center"/>
    </xf>
    <xf numFmtId="0" fontId="1" fillId="9" borderId="2" xfId="0" applyFont="1" applyFill="1" applyBorder="1" applyAlignment="1">
      <alignment horizontal="left" vertical="center"/>
    </xf>
    <xf numFmtId="0" fontId="2" fillId="7" borderId="1" xfId="0" applyFont="1" applyFill="1" applyBorder="1" applyAlignment="1">
      <alignment horizontal="left" vertical="center"/>
    </xf>
    <xf numFmtId="0" fontId="2" fillId="7" borderId="2" xfId="0" applyFont="1" applyFill="1" applyBorder="1" applyAlignment="1">
      <alignment horizontal="left" vertical="center"/>
    </xf>
    <xf numFmtId="0" fontId="2" fillId="7" borderId="9" xfId="0" applyFont="1" applyFill="1" applyBorder="1" applyAlignment="1">
      <alignment horizontal="left" vertical="center"/>
    </xf>
    <xf numFmtId="0" fontId="2" fillId="7" borderId="11" xfId="0" applyFont="1" applyFill="1" applyBorder="1" applyAlignment="1">
      <alignment horizontal="left" vertical="center"/>
    </xf>
    <xf numFmtId="0" fontId="19" fillId="3" borderId="0" xfId="0" applyFont="1" applyFill="1" applyBorder="1" applyAlignment="1">
      <alignment horizontal="left" vertical="center" wrapText="1"/>
    </xf>
    <xf numFmtId="0" fontId="19" fillId="3" borderId="16" xfId="0" applyFont="1" applyFill="1" applyBorder="1" applyAlignment="1">
      <alignment horizontal="left" vertical="center" wrapText="1"/>
    </xf>
    <xf numFmtId="0" fontId="19" fillId="3" borderId="17" xfId="0" applyFont="1" applyFill="1" applyBorder="1" applyAlignment="1">
      <alignment horizontal="left" vertical="center" wrapText="1"/>
    </xf>
    <xf numFmtId="0" fontId="19" fillId="3" borderId="18" xfId="0" applyFont="1" applyFill="1" applyBorder="1" applyAlignment="1">
      <alignment horizontal="left" vertical="center" wrapText="1"/>
    </xf>
    <xf numFmtId="0" fontId="19" fillId="3" borderId="19" xfId="0" applyFont="1" applyFill="1" applyBorder="1" applyAlignment="1">
      <alignment horizontal="left" vertical="center" wrapText="1"/>
    </xf>
    <xf numFmtId="0" fontId="19" fillId="3" borderId="20" xfId="0" applyFont="1" applyFill="1" applyBorder="1" applyAlignment="1">
      <alignment horizontal="left" vertical="center" wrapText="1"/>
    </xf>
    <xf numFmtId="0" fontId="1" fillId="12" borderId="4"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6" xfId="0" applyFont="1" applyFill="1" applyBorder="1" applyAlignment="1">
      <alignment horizontal="center" vertical="center" wrapText="1"/>
    </xf>
    <xf numFmtId="0" fontId="5" fillId="12" borderId="4" xfId="0" applyFont="1" applyFill="1" applyBorder="1" applyAlignment="1">
      <alignment horizontal="center" vertical="center" wrapText="1"/>
    </xf>
    <xf numFmtId="0" fontId="5" fillId="12" borderId="6"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0" fontId="2" fillId="13" borderId="4" xfId="0" applyFont="1" applyFill="1" applyBorder="1" applyAlignment="1">
      <alignment horizontal="left" vertical="center" wrapText="1"/>
    </xf>
    <xf numFmtId="0" fontId="2" fillId="13" borderId="6" xfId="0" applyFont="1" applyFill="1" applyBorder="1" applyAlignment="1">
      <alignment horizontal="left" vertical="center" wrapText="1"/>
    </xf>
    <xf numFmtId="0" fontId="1" fillId="5" borderId="9" xfId="0" applyFont="1" applyFill="1" applyBorder="1" applyAlignment="1">
      <alignment horizontal="left" vertical="center" wrapText="1"/>
    </xf>
    <xf numFmtId="0" fontId="1" fillId="5" borderId="10" xfId="0" applyFont="1" applyFill="1" applyBorder="1" applyAlignment="1">
      <alignment horizontal="left" vertical="center" wrapText="1"/>
    </xf>
    <xf numFmtId="0" fontId="5" fillId="15" borderId="4" xfId="0" applyFont="1" applyFill="1" applyBorder="1" applyAlignment="1">
      <alignment horizontal="center" vertical="center" wrapText="1"/>
    </xf>
    <xf numFmtId="0" fontId="5" fillId="15" borderId="6" xfId="0" applyFont="1" applyFill="1" applyBorder="1" applyAlignment="1">
      <alignment horizontal="center" vertical="center" wrapText="1"/>
    </xf>
    <xf numFmtId="0" fontId="6" fillId="15" borderId="4" xfId="0" applyFont="1" applyFill="1" applyBorder="1" applyAlignment="1">
      <alignment horizontal="center" vertical="center" wrapText="1"/>
    </xf>
    <xf numFmtId="0" fontId="6" fillId="15" borderId="6" xfId="0" applyFont="1" applyFill="1" applyBorder="1" applyAlignment="1">
      <alignment horizontal="center" vertical="center" wrapText="1"/>
    </xf>
    <xf numFmtId="0" fontId="1" fillId="15" borderId="4"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5" borderId="6" xfId="0" applyFont="1" applyFill="1" applyBorder="1" applyAlignment="1">
      <alignment horizontal="center" vertical="center" wrapText="1"/>
    </xf>
  </cellXfs>
  <cellStyles count="1">
    <cellStyle name="Normal" xfId="0" builtinId="0"/>
  </cellStyles>
  <dxfs count="0"/>
  <tableStyles count="0" defaultTableStyle="TableStyleMedium9" defaultPivotStyle="PivotStyleLight16"/>
  <colors>
    <mruColors>
      <color rgb="FF00FF00"/>
    </mruColors>
  </color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latin typeface="Arial" pitchFamily="34" charset="0"/>
                <a:cs typeface="Arial" pitchFamily="34" charset="0"/>
              </a:defRPr>
            </a:pPr>
            <a:r>
              <a:rPr lang="en-US" sz="1200">
                <a:latin typeface="Arial" pitchFamily="34" charset="0"/>
                <a:cs typeface="Arial" pitchFamily="34" charset="0"/>
              </a:rPr>
              <a:t>Weak-axis</a:t>
            </a:r>
            <a:r>
              <a:rPr lang="en-US" sz="1200" baseline="0">
                <a:latin typeface="Arial" pitchFamily="34" charset="0"/>
                <a:cs typeface="Arial" pitchFamily="34" charset="0"/>
              </a:rPr>
              <a:t> bending moment vs. position along right half of beam</a:t>
            </a:r>
            <a:endParaRPr lang="en-US" sz="1200">
              <a:latin typeface="Arial" pitchFamily="34" charset="0"/>
              <a:cs typeface="Arial" pitchFamily="34" charset="0"/>
            </a:endParaRPr>
          </a:p>
        </c:rich>
      </c:tx>
    </c:title>
    <c:plotArea>
      <c:layout/>
      <c:scatterChart>
        <c:scatterStyle val="smoothMarker"/>
        <c:ser>
          <c:idx val="1"/>
          <c:order val="1"/>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Background!$N$3:$N$53</c:f>
              <c:numCache>
                <c:formatCode>General</c:formatCode>
                <c:ptCount val="51"/>
                <c:pt idx="0">
                  <c:v>11.71588533635574</c:v>
                </c:pt>
                <c:pt idx="1">
                  <c:v>11.704164309209084</c:v>
                </c:pt>
                <c:pt idx="2">
                  <c:v>11.669001228069176</c:v>
                </c:pt>
                <c:pt idx="3">
                  <c:v>11.610396093429525</c:v>
                </c:pt>
                <c:pt idx="4">
                  <c:v>11.528348906790409</c:v>
                </c:pt>
                <c:pt idx="5">
                  <c:v>11.422859669032245</c:v>
                </c:pt>
                <c:pt idx="6">
                  <c:v>11.293928382855537</c:v>
                </c:pt>
                <c:pt idx="7">
                  <c:v>11.141555050747581</c:v>
                </c:pt>
                <c:pt idx="8">
                  <c:v>10.965739674982476</c:v>
                </c:pt>
                <c:pt idx="9">
                  <c:v>10.766482259654396</c:v>
                </c:pt>
                <c:pt idx="10">
                  <c:v>10.543782808237662</c:v>
                </c:pt>
                <c:pt idx="11">
                  <c:v>10.297641324806705</c:v>
                </c:pt>
                <c:pt idx="12">
                  <c:v>10.028057814442718</c:v>
                </c:pt>
                <c:pt idx="13">
                  <c:v>9.7350322820136963</c:v>
                </c:pt>
                <c:pt idx="14">
                  <c:v>9.4185647338010678</c:v>
                </c:pt>
                <c:pt idx="15">
                  <c:v>9.0786551750597209</c:v>
                </c:pt>
                <c:pt idx="16">
                  <c:v>8.7153036128646502</c:v>
                </c:pt>
                <c:pt idx="17">
                  <c:v>8.3285100536709766</c:v>
                </c:pt>
                <c:pt idx="18">
                  <c:v>7.9182745057539066</c:v>
                </c:pt>
                <c:pt idx="19">
                  <c:v>7.4845969759554691</c:v>
                </c:pt>
                <c:pt idx="20">
                  <c:v>7.0274774733444385</c:v>
                </c:pt>
                <c:pt idx="21">
                  <c:v>6.546916006776371</c:v>
                </c:pt>
                <c:pt idx="22">
                  <c:v>6.0429125848936458</c:v>
                </c:pt>
                <c:pt idx="23">
                  <c:v>5.5154672173453747</c:v>
                </c:pt>
                <c:pt idx="24">
                  <c:v>4.9645799151941228</c:v>
                </c:pt>
                <c:pt idx="25">
                  <c:v>4.3902506876626006</c:v>
                </c:pt>
                <c:pt idx="26">
                  <c:v>3.7924795470135941</c:v>
                </c:pt>
                <c:pt idx="27">
                  <c:v>3.1712665040766921</c:v>
                </c:pt>
                <c:pt idx="28">
                  <c:v>2.5266115710949251</c:v>
                </c:pt>
                <c:pt idx="29">
                  <c:v>1.8585147600980862</c:v>
                </c:pt>
                <c:pt idx="30">
                  <c:v>1.166976084122785</c:v>
                </c:pt>
                <c:pt idx="31">
                  <c:v>0.45199555639904454</c:v>
                </c:pt>
                <c:pt idx="32">
                  <c:v>-0.28642680964964923</c:v>
                </c:pt>
                <c:pt idx="33">
                  <c:v>-1.0482909991863885</c:v>
                </c:pt>
                <c:pt idx="34">
                  <c:v>-1.8335969979941218</c:v>
                </c:pt>
                <c:pt idx="35">
                  <c:v>-2.6372175024437001</c:v>
                </c:pt>
                <c:pt idx="36">
                  <c:v>-2.2973090852016305</c:v>
                </c:pt>
                <c:pt idx="37">
                  <c:v>-1.9808427010287015</c:v>
                </c:pt>
                <c:pt idx="38">
                  <c:v>-1.6878183399954862</c:v>
                </c:pt>
                <c:pt idx="39">
                  <c:v>-1.4182359936057343</c:v>
                </c:pt>
                <c:pt idx="40">
                  <c:v>-1.1720956519497749</c:v>
                </c:pt>
                <c:pt idx="41">
                  <c:v>-0.94939730411116507</c:v>
                </c:pt>
                <c:pt idx="42">
                  <c:v>-0.7501409401999839</c:v>
                </c:pt>
                <c:pt idx="43">
                  <c:v>-0.57432654850623022</c:v>
                </c:pt>
                <c:pt idx="44">
                  <c:v>-0.42195411753310713</c:v>
                </c:pt>
                <c:pt idx="45">
                  <c:v>-0.29302363559038258</c:v>
                </c:pt>
                <c:pt idx="46">
                  <c:v>-0.18753508916771053</c:v>
                </c:pt>
                <c:pt idx="47">
                  <c:v>-0.1054884661879673</c:v>
                </c:pt>
                <c:pt idx="48">
                  <c:v>-4.6883753160561675E-2</c:v>
                </c:pt>
                <c:pt idx="49">
                  <c:v>-1.1720935588181611E-2</c:v>
                </c:pt>
                <c:pt idx="50">
                  <c:v>0</c:v>
                </c:pt>
              </c:numCache>
            </c:numRef>
          </c:yVal>
          <c:smooth val="1"/>
        </c:s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Background!$N$3:$N$53</c:f>
              <c:numCache>
                <c:formatCode>General</c:formatCode>
                <c:ptCount val="51"/>
                <c:pt idx="0">
                  <c:v>11.71588533635574</c:v>
                </c:pt>
                <c:pt idx="1">
                  <c:v>11.704164309209084</c:v>
                </c:pt>
                <c:pt idx="2">
                  <c:v>11.669001228069176</c:v>
                </c:pt>
                <c:pt idx="3">
                  <c:v>11.610396093429525</c:v>
                </c:pt>
                <c:pt idx="4">
                  <c:v>11.528348906790409</c:v>
                </c:pt>
                <c:pt idx="5">
                  <c:v>11.422859669032245</c:v>
                </c:pt>
                <c:pt idx="6">
                  <c:v>11.293928382855537</c:v>
                </c:pt>
                <c:pt idx="7">
                  <c:v>11.141555050747581</c:v>
                </c:pt>
                <c:pt idx="8">
                  <c:v>10.965739674982476</c:v>
                </c:pt>
                <c:pt idx="9">
                  <c:v>10.766482259654396</c:v>
                </c:pt>
                <c:pt idx="10">
                  <c:v>10.543782808237662</c:v>
                </c:pt>
                <c:pt idx="11">
                  <c:v>10.297641324806705</c:v>
                </c:pt>
                <c:pt idx="12">
                  <c:v>10.028057814442718</c:v>
                </c:pt>
                <c:pt idx="13">
                  <c:v>9.7350322820136963</c:v>
                </c:pt>
                <c:pt idx="14">
                  <c:v>9.4185647338010678</c:v>
                </c:pt>
                <c:pt idx="15">
                  <c:v>9.0786551750597209</c:v>
                </c:pt>
                <c:pt idx="16">
                  <c:v>8.7153036128646502</c:v>
                </c:pt>
                <c:pt idx="17">
                  <c:v>8.3285100536709766</c:v>
                </c:pt>
                <c:pt idx="18">
                  <c:v>7.9182745057539066</c:v>
                </c:pt>
                <c:pt idx="19">
                  <c:v>7.4845969759554691</c:v>
                </c:pt>
                <c:pt idx="20">
                  <c:v>7.0274774733444385</c:v>
                </c:pt>
                <c:pt idx="21">
                  <c:v>6.546916006776371</c:v>
                </c:pt>
                <c:pt idx="22">
                  <c:v>6.0429125848936458</c:v>
                </c:pt>
                <c:pt idx="23">
                  <c:v>5.5154672173453747</c:v>
                </c:pt>
                <c:pt idx="24">
                  <c:v>4.9645799151941228</c:v>
                </c:pt>
                <c:pt idx="25">
                  <c:v>4.3902506876626006</c:v>
                </c:pt>
                <c:pt idx="26">
                  <c:v>3.7924795470135941</c:v>
                </c:pt>
                <c:pt idx="27">
                  <c:v>3.1712665040766921</c:v>
                </c:pt>
                <c:pt idx="28">
                  <c:v>2.5266115710949251</c:v>
                </c:pt>
                <c:pt idx="29">
                  <c:v>1.8585147600980862</c:v>
                </c:pt>
                <c:pt idx="30">
                  <c:v>1.166976084122785</c:v>
                </c:pt>
                <c:pt idx="31">
                  <c:v>0.45199555639904454</c:v>
                </c:pt>
                <c:pt idx="32">
                  <c:v>-0.28642680964964923</c:v>
                </c:pt>
                <c:pt idx="33">
                  <c:v>-1.0482909991863885</c:v>
                </c:pt>
                <c:pt idx="34">
                  <c:v>-1.8335969979941218</c:v>
                </c:pt>
                <c:pt idx="35">
                  <c:v>-2.6372175024437001</c:v>
                </c:pt>
                <c:pt idx="36">
                  <c:v>-2.2973090852016305</c:v>
                </c:pt>
                <c:pt idx="37">
                  <c:v>-1.9808427010287015</c:v>
                </c:pt>
                <c:pt idx="38">
                  <c:v>-1.6878183399954862</c:v>
                </c:pt>
                <c:pt idx="39">
                  <c:v>-1.4182359936057343</c:v>
                </c:pt>
                <c:pt idx="40">
                  <c:v>-1.1720956519497749</c:v>
                </c:pt>
                <c:pt idx="41">
                  <c:v>-0.94939730411116507</c:v>
                </c:pt>
                <c:pt idx="42">
                  <c:v>-0.7501409401999839</c:v>
                </c:pt>
                <c:pt idx="43">
                  <c:v>-0.57432654850623022</c:v>
                </c:pt>
                <c:pt idx="44">
                  <c:v>-0.42195411753310713</c:v>
                </c:pt>
                <c:pt idx="45">
                  <c:v>-0.29302363559038258</c:v>
                </c:pt>
                <c:pt idx="46">
                  <c:v>-0.18753508916771053</c:v>
                </c:pt>
                <c:pt idx="47">
                  <c:v>-0.1054884661879673</c:v>
                </c:pt>
                <c:pt idx="48">
                  <c:v>-4.6883753160561675E-2</c:v>
                </c:pt>
                <c:pt idx="49">
                  <c:v>-1.1720935588181611E-2</c:v>
                </c:pt>
                <c:pt idx="50">
                  <c:v>0</c:v>
                </c:pt>
              </c:numCache>
            </c:numRef>
          </c:yVal>
          <c:smooth val="1"/>
        </c:ser>
        <c:axId val="257555072"/>
        <c:axId val="257786624"/>
      </c:scatterChart>
      <c:valAx>
        <c:axId val="257555072"/>
        <c:scaling>
          <c:orientation val="minMax"/>
        </c:scaling>
        <c:axPos val="b"/>
        <c:title>
          <c:tx>
            <c:rich>
              <a:bodyPr/>
              <a:lstStyle/>
              <a:p>
                <a:pPr>
                  <a:defRPr>
                    <a:latin typeface="Arial" pitchFamily="34" charset="0"/>
                    <a:cs typeface="Arial" pitchFamily="34" charset="0"/>
                  </a:defRPr>
                </a:pPr>
                <a:r>
                  <a:rPr lang="en-US" sz="1200">
                    <a:latin typeface="Arial" pitchFamily="34" charset="0"/>
                    <a:cs typeface="Arial" pitchFamily="34" charset="0"/>
                  </a:rPr>
                  <a:t>x (m)</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86624"/>
        <c:crosses val="autoZero"/>
        <c:crossBetween val="midCat"/>
      </c:valAx>
      <c:valAx>
        <c:axId val="257786624"/>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M</a:t>
                </a:r>
                <a:r>
                  <a:rPr lang="en-US" sz="1200" baseline="-25000">
                    <a:latin typeface="Arial" pitchFamily="34" charset="0"/>
                    <a:cs typeface="Arial" pitchFamily="34" charset="0"/>
                  </a:rPr>
                  <a:t>y </a:t>
                </a:r>
                <a:r>
                  <a:rPr lang="en-US" sz="1200" baseline="0">
                    <a:latin typeface="Arial" pitchFamily="34" charset="0"/>
                    <a:cs typeface="Arial" pitchFamily="34" charset="0"/>
                  </a:rPr>
                  <a:t>(kN-m)</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555072"/>
        <c:crosses val="autoZero"/>
        <c:crossBetween val="midCat"/>
      </c:valAx>
      <c:spPr>
        <a:noFill/>
        <a:ln w="25400">
          <a:noFill/>
        </a:ln>
      </c:spPr>
    </c:plotArea>
    <c:plotVisOnly val="1"/>
    <c:dispBlanksAs val="gap"/>
  </c:chart>
  <c:printSettings>
    <c:headerFooter/>
    <c:pageMargins b="0.75000000000000167" l="0.70000000000000162" r="0.70000000000000162" t="0.7500000000000016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latin typeface="Arial" pitchFamily="34" charset="0"/>
                <a:cs typeface="Arial" pitchFamily="34" charset="0"/>
              </a:defRPr>
            </a:pPr>
            <a:r>
              <a:rPr lang="en-US" sz="1200">
                <a:latin typeface="Arial" pitchFamily="34" charset="0"/>
                <a:cs typeface="Arial" pitchFamily="34" charset="0"/>
              </a:rPr>
              <a:t>Twisting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Background!$O$3:$O$53</c:f>
              <c:numCache>
                <c:formatCode>General</c:formatCode>
                <c:ptCount val="51"/>
                <c:pt idx="0">
                  <c:v>0</c:v>
                </c:pt>
                <c:pt idx="1">
                  <c:v>9.4404422464140658E-2</c:v>
                </c:pt>
                <c:pt idx="2">
                  <c:v>0.188619889596671</c:v>
                </c:pt>
                <c:pt idx="3">
                  <c:v>0.28245744610099394</c:v>
                </c:pt>
                <c:pt idx="4">
                  <c:v>0.3757281366004821</c:v>
                </c:pt>
                <c:pt idx="5">
                  <c:v>0.46824300584355544</c:v>
                </c:pt>
                <c:pt idx="6">
                  <c:v>0.55981309846859229</c:v>
                </c:pt>
                <c:pt idx="7">
                  <c:v>0.65024945918399757</c:v>
                </c:pt>
                <c:pt idx="8">
                  <c:v>0.73936313265816089</c:v>
                </c:pt>
                <c:pt idx="9">
                  <c:v>0.82696516363950223</c:v>
                </c:pt>
                <c:pt idx="10">
                  <c:v>0.912866596896449</c:v>
                </c:pt>
                <c:pt idx="11">
                  <c:v>0.99687847703736843</c:v>
                </c:pt>
                <c:pt idx="12">
                  <c:v>1.0788118489107184</c:v>
                </c:pt>
                <c:pt idx="13">
                  <c:v>1.1584777571648808</c:v>
                </c:pt>
                <c:pt idx="14">
                  <c:v>1.2356872467283442</c:v>
                </c:pt>
                <c:pt idx="15">
                  <c:v>1.31025136216946</c:v>
                </c:pt>
                <c:pt idx="16">
                  <c:v>1.3819811484167166</c:v>
                </c:pt>
                <c:pt idx="17">
                  <c:v>1.4506876503986024</c:v>
                </c:pt>
                <c:pt idx="18">
                  <c:v>1.5161819127234841</c:v>
                </c:pt>
                <c:pt idx="19">
                  <c:v>1.5782749804799108</c:v>
                </c:pt>
                <c:pt idx="20">
                  <c:v>1.6367778982762495</c:v>
                </c:pt>
                <c:pt idx="21">
                  <c:v>1.6915017112010489</c:v>
                </c:pt>
                <c:pt idx="22">
                  <c:v>1.7422574642628279</c:v>
                </c:pt>
                <c:pt idx="23">
                  <c:v>1.7888562021499834</c:v>
                </c:pt>
                <c:pt idx="24">
                  <c:v>1.8311089701911558</c:v>
                </c:pt>
                <c:pt idx="25">
                  <c:v>1.8688268129146812</c:v>
                </c:pt>
                <c:pt idx="26">
                  <c:v>1.9018207758892909</c:v>
                </c:pt>
                <c:pt idx="27">
                  <c:v>1.9299019039634429</c:v>
                </c:pt>
                <c:pt idx="28">
                  <c:v>1.9528812421456554</c:v>
                </c:pt>
                <c:pt idx="29">
                  <c:v>1.970569835604508</c:v>
                </c:pt>
                <c:pt idx="30">
                  <c:v>1.9827787295085801</c:v>
                </c:pt>
                <c:pt idx="31">
                  <c:v>1.9893189691865114</c:v>
                </c:pt>
                <c:pt idx="32">
                  <c:v>1.9900015996468206</c:v>
                </c:pt>
                <c:pt idx="33">
                  <c:v>1.9846376663782084</c:v>
                </c:pt>
                <c:pt idx="34">
                  <c:v>1.9730382145492538</c:v>
                </c:pt>
                <c:pt idx="35">
                  <c:v>0.10628702313107463</c:v>
                </c:pt>
                <c:pt idx="36">
                  <c:v>8.6415287182750378E-2</c:v>
                </c:pt>
                <c:pt idx="37">
                  <c:v>6.9188916717014423E-2</c:v>
                </c:pt>
                <c:pt idx="38">
                  <c:v>5.4418957245172692E-2</c:v>
                </c:pt>
                <c:pt idx="39">
                  <c:v>4.1916454078465087E-2</c:v>
                </c:pt>
                <c:pt idx="40">
                  <c:v>3.1492452568144751E-2</c:v>
                </c:pt>
                <c:pt idx="41">
                  <c:v>2.295799806546479E-2</c:v>
                </c:pt>
                <c:pt idx="42">
                  <c:v>1.6124135881665128E-2</c:v>
                </c:pt>
                <c:pt idx="43">
                  <c:v>1.0801911408012082E-2</c:v>
                </c:pt>
                <c:pt idx="44">
                  <c:v>6.8023698957257791E-3</c:v>
                </c:pt>
                <c:pt idx="45">
                  <c:v>3.9365566560461418E-3</c:v>
                </c:pt>
                <c:pt idx="46">
                  <c:v>2.0155170202196897E-3</c:v>
                </c:pt>
                <c:pt idx="47">
                  <c:v>8.5029623946654724E-4</c:v>
                </c:pt>
                <c:pt idx="48">
                  <c:v>2.5193962502663631E-4</c:v>
                </c:pt>
                <c:pt idx="49">
                  <c:v>3.1492453128329539E-5</c:v>
                </c:pt>
                <c:pt idx="50">
                  <c:v>0</c:v>
                </c:pt>
              </c:numCache>
            </c:numRef>
          </c:yVal>
          <c:smooth val="1"/>
        </c:ser>
        <c:axId val="257700224"/>
        <c:axId val="257702144"/>
      </c:scatterChart>
      <c:valAx>
        <c:axId val="257700224"/>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(m)</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02144"/>
        <c:crosses val="autoZero"/>
        <c:crossBetween val="midCat"/>
      </c:valAx>
      <c:valAx>
        <c:axId val="257702144"/>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M</a:t>
                </a:r>
                <a:r>
                  <a:rPr lang="en-US" sz="1200" baseline="-25000">
                    <a:latin typeface="Arial" pitchFamily="34" charset="0"/>
                    <a:cs typeface="Arial" pitchFamily="34" charset="0"/>
                  </a:rPr>
                  <a:t>x</a:t>
                </a:r>
                <a:r>
                  <a:rPr lang="en-US" sz="1200" baseline="0">
                    <a:latin typeface="Arial" pitchFamily="34" charset="0"/>
                    <a:cs typeface="Arial" pitchFamily="34" charset="0"/>
                  </a:rPr>
                  <a:t> (kN-m)</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00224"/>
        <c:crosses val="autoZero"/>
        <c:crossBetween val="midCat"/>
      </c:valAx>
      <c:spPr>
        <a:noFill/>
        <a:ln w="25400">
          <a:noFill/>
        </a:ln>
      </c:spPr>
    </c:plotArea>
    <c:plotVisOnly val="1"/>
    <c:dispBlanksAs val="gap"/>
  </c:chart>
  <c:printSettings>
    <c:headerFooter/>
    <c:pageMargins b="0.75000000000000167" l="0.70000000000000162" r="0.70000000000000162" t="0.7500000000000016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latin typeface="Arial" pitchFamily="34" charset="0"/>
                <a:cs typeface="Arial" pitchFamily="34" charset="0"/>
              </a:defRPr>
            </a:pPr>
            <a:r>
              <a:rPr lang="en-US" sz="1200">
                <a:latin typeface="Arial" pitchFamily="34" charset="0"/>
                <a:cs typeface="Arial" pitchFamily="34" charset="0"/>
              </a:rPr>
              <a:t>Strong-axis bending </a:t>
            </a:r>
            <a:r>
              <a:rPr lang="en-US" sz="1200" baseline="0">
                <a:latin typeface="Arial" pitchFamily="34" charset="0"/>
                <a:cs typeface="Arial" pitchFamily="34" charset="0"/>
              </a:rPr>
              <a:t>moment 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Background!$P$3:$P$53</c:f>
              <c:numCache>
                <c:formatCode>General</c:formatCode>
                <c:ptCount val="51"/>
                <c:pt idx="0">
                  <c:v>-1180.4536595200918</c:v>
                </c:pt>
                <c:pt idx="1">
                  <c:v>-1179.2726839999464</c:v>
                </c:pt>
                <c:pt idx="2">
                  <c:v>-1175.7297574804857</c:v>
                </c:pt>
                <c:pt idx="3">
                  <c:v>-1169.8248800026854</c:v>
                </c:pt>
                <c:pt idx="4">
                  <c:v>-1161.5580515255699</c:v>
                </c:pt>
                <c:pt idx="5">
                  <c:v>-1150.9292721720656</c:v>
                </c:pt>
                <c:pt idx="6">
                  <c:v>-1137.9385419831483</c:v>
                </c:pt>
                <c:pt idx="7">
                  <c:v>-1122.5858610407688</c:v>
                </c:pt>
                <c:pt idx="8">
                  <c:v>-1104.8712294678539</c:v>
                </c:pt>
                <c:pt idx="9">
                  <c:v>-1084.7946473463546</c:v>
                </c:pt>
                <c:pt idx="10">
                  <c:v>-1062.3561147991977</c:v>
                </c:pt>
                <c:pt idx="11">
                  <c:v>-1037.5556320312608</c:v>
                </c:pt>
                <c:pt idx="12">
                  <c:v>-1010.3931991654699</c:v>
                </c:pt>
                <c:pt idx="13">
                  <c:v>-980.86881636572798</c:v>
                </c:pt>
                <c:pt idx="14">
                  <c:v>-948.98248379593667</c:v>
                </c:pt>
                <c:pt idx="15">
                  <c:v>-914.73420170194947</c:v>
                </c:pt>
                <c:pt idx="16">
                  <c:v>-878.12397028864382</c:v>
                </c:pt>
                <c:pt idx="17">
                  <c:v>-839.15178980187306</c:v>
                </c:pt>
                <c:pt idx="18">
                  <c:v>-797.81766044651476</c:v>
                </c:pt>
                <c:pt idx="19">
                  <c:v>-754.12158255037309</c:v>
                </c:pt>
                <c:pt idx="20">
                  <c:v>-708.06355635930151</c:v>
                </c:pt>
                <c:pt idx="21">
                  <c:v>-659.64358216012863</c:v>
                </c:pt>
                <c:pt idx="22">
                  <c:v>-608.86166028065873</c:v>
                </c:pt>
                <c:pt idx="23">
                  <c:v>-555.71779108967166</c:v>
                </c:pt>
                <c:pt idx="24">
                  <c:v>-500.21197479204488</c:v>
                </c:pt>
                <c:pt idx="25">
                  <c:v>-442.34421192046057</c:v>
                </c:pt>
                <c:pt idx="26">
                  <c:v>-382.11450272077178</c:v>
                </c:pt>
                <c:pt idx="27">
                  <c:v>-319.52284760273392</c:v>
                </c:pt>
                <c:pt idx="28">
                  <c:v>-254.56924693512684</c:v>
                </c:pt>
                <c:pt idx="29">
                  <c:v>-187.25370120965681</c:v>
                </c:pt>
                <c:pt idx="30">
                  <c:v>-117.57621083607923</c:v>
                </c:pt>
                <c:pt idx="31">
                  <c:v>-45.536776224149449</c:v>
                </c:pt>
                <c:pt idx="32">
                  <c:v>28.86460209345061</c:v>
                </c:pt>
                <c:pt idx="33">
                  <c:v>105.62792374794115</c:v>
                </c:pt>
                <c:pt idx="34">
                  <c:v>184.75318816566468</c:v>
                </c:pt>
                <c:pt idx="35">
                  <c:v>265.71860790590631</c:v>
                </c:pt>
                <c:pt idx="36">
                  <c:v>231.47043536618429</c:v>
                </c:pt>
                <c:pt idx="37">
                  <c:v>199.5842047726332</c:v>
                </c:pt>
                <c:pt idx="38">
                  <c:v>170.05991641206765</c:v>
                </c:pt>
                <c:pt idx="39">
                  <c:v>142.89757040740818</c:v>
                </c:pt>
                <c:pt idx="40">
                  <c:v>118.09716696352234</c:v>
                </c:pt>
                <c:pt idx="41">
                  <c:v>95.658706203330723</c:v>
                </c:pt>
                <c:pt idx="42">
                  <c:v>75.582188290727345</c:v>
                </c:pt>
                <c:pt idx="43">
                  <c:v>57.867613389606298</c:v>
                </c:pt>
                <c:pt idx="44">
                  <c:v>42.514981540941093</c:v>
                </c:pt>
                <c:pt idx="45">
                  <c:v>29.524292908625775</c:v>
                </c:pt>
                <c:pt idx="46">
                  <c:v>18.895547574607399</c:v>
                </c:pt>
                <c:pt idx="47">
                  <c:v>10.628745538885957</c:v>
                </c:pt>
                <c:pt idx="48">
                  <c:v>4.7238869243819863</c:v>
                </c:pt>
                <c:pt idx="49">
                  <c:v>1.1809717310954966</c:v>
                </c:pt>
                <c:pt idx="50">
                  <c:v>0</c:v>
                </c:pt>
              </c:numCache>
            </c:numRef>
          </c:yVal>
          <c:smooth val="1"/>
        </c:ser>
        <c:axId val="257726336"/>
        <c:axId val="257736704"/>
      </c:scatterChart>
      <c:valAx>
        <c:axId val="257726336"/>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(m)</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36704"/>
        <c:crosses val="autoZero"/>
        <c:crossBetween val="midCat"/>
      </c:valAx>
      <c:valAx>
        <c:axId val="257736704"/>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M</a:t>
                </a:r>
                <a:r>
                  <a:rPr lang="en-US" sz="1200" baseline="-25000">
                    <a:latin typeface="Arial" pitchFamily="34" charset="0"/>
                    <a:cs typeface="Arial" pitchFamily="34" charset="0"/>
                  </a:rPr>
                  <a:t>z </a:t>
                </a:r>
                <a:r>
                  <a:rPr lang="en-US" sz="1200" baseline="0">
                    <a:latin typeface="Arial" pitchFamily="34" charset="0"/>
                    <a:cs typeface="Arial" pitchFamily="34" charset="0"/>
                  </a:rPr>
                  <a:t>(kN-m)</a:t>
                </a: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26336"/>
        <c:crosses val="autoZero"/>
        <c:crossBetween val="midCat"/>
      </c:valAx>
      <c:spPr>
        <a:noFill/>
        <a:ln w="25400">
          <a:noFill/>
        </a:ln>
      </c:spPr>
    </c:plotArea>
    <c:plotVisOnly val="1"/>
    <c:dispBlanksAs val="gap"/>
  </c:chart>
  <c:printSettings>
    <c:headerFooter/>
    <c:pageMargins b="0.75000000000000167" l="0.70000000000000162" r="0.70000000000000162" t="0.7500000000000016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Arial" pitchFamily="34" charset="0"/>
                <a:ea typeface="+mn-ea"/>
                <a:cs typeface="Arial" pitchFamily="34" charset="0"/>
              </a:defRPr>
            </a:pPr>
            <a:r>
              <a:rPr lang="en-US" sz="1200">
                <a:latin typeface="Arial" pitchFamily="34" charset="0"/>
                <a:cs typeface="Arial" pitchFamily="34" charset="0"/>
              </a:rPr>
              <a:t>Weak-axis deflection </a:t>
            </a:r>
            <a:r>
              <a:rPr lang="en-US" sz="1200"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Background!$Q$3:$Q$53</c:f>
              <c:numCache>
                <c:formatCode>General</c:formatCode>
                <c:ptCount val="51"/>
                <c:pt idx="0">
                  <c:v>5.3524514117383329E-3</c:v>
                </c:pt>
                <c:pt idx="1">
                  <c:v>5.3468518654544057E-3</c:v>
                </c:pt>
                <c:pt idx="2">
                  <c:v>5.3305297837331718E-3</c:v>
                </c:pt>
                <c:pt idx="3">
                  <c:v>5.3031277487267207E-3</c:v>
                </c:pt>
                <c:pt idx="4">
                  <c:v>5.2647648997176891E-3</c:v>
                </c:pt>
                <c:pt idx="5">
                  <c:v>5.2156795152713516E-3</c:v>
                </c:pt>
                <c:pt idx="6">
                  <c:v>5.155990734670342E-3</c:v>
                </c:pt>
                <c:pt idx="7">
                  <c:v>5.0855794186320273E-3</c:v>
                </c:pt>
                <c:pt idx="8">
                  <c:v>5.0046838457216787E-3</c:v>
                </c:pt>
                <c:pt idx="9">
                  <c:v>4.9136614337872064E-3</c:v>
                </c:pt>
                <c:pt idx="10">
                  <c:v>4.8123930435459749E-3</c:v>
                </c:pt>
                <c:pt idx="11">
                  <c:v>4.7013552321285299E-3</c:v>
                </c:pt>
                <c:pt idx="12">
                  <c:v>4.5805479995348723E-3</c:v>
                </c:pt>
                <c:pt idx="13">
                  <c:v>4.4505670421781853E-3</c:v>
                </c:pt>
                <c:pt idx="14">
                  <c:v>4.3111740814931951E-3</c:v>
                </c:pt>
                <c:pt idx="15">
                  <c:v>4.1630839531757238E-3</c:v>
                </c:pt>
                <c:pt idx="16">
                  <c:v>4.0065349357910427E-3</c:v>
                </c:pt>
                <c:pt idx="17">
                  <c:v>3.8417653079044268E-3</c:v>
                </c:pt>
                <c:pt idx="18">
                  <c:v>3.6691324873637855E-3</c:v>
                </c:pt>
                <c:pt idx="19">
                  <c:v>3.4892321705823036E-3</c:v>
                </c:pt>
                <c:pt idx="20">
                  <c:v>3.3021834968426167E-3</c:v>
                </c:pt>
                <c:pt idx="21">
                  <c:v>3.1087013018405445E-3</c:v>
                </c:pt>
                <c:pt idx="22">
                  <c:v>2.9089047248587263E-3</c:v>
                </c:pt>
                <c:pt idx="23">
                  <c:v>2.7035086015929806E-3</c:v>
                </c:pt>
                <c:pt idx="24">
                  <c:v>2.4928703498912183E-3</c:v>
                </c:pt>
                <c:pt idx="25">
                  <c:v>2.2777048054492596E-3</c:v>
                </c:pt>
                <c:pt idx="26">
                  <c:v>2.0584885253976518E-3</c:v>
                </c:pt>
                <c:pt idx="27">
                  <c:v>1.8355193579429867E-3</c:v>
                </c:pt>
                <c:pt idx="28">
                  <c:v>1.6096908477050396E-3</c:v>
                </c:pt>
                <c:pt idx="29">
                  <c:v>1.3814199821730393E-3</c:v>
                </c:pt>
                <c:pt idx="30">
                  <c:v>1.1514811666841246E-3</c:v>
                </c:pt>
                <c:pt idx="31">
                  <c:v>9.2052966729279774E-4</c:v>
                </c:pt>
                <c:pt idx="32">
                  <c:v>6.8904204112960532E-4</c:v>
                </c:pt>
                <c:pt idx="33">
                  <c:v>4.5773312389036801E-4</c:v>
                </c:pt>
                <c:pt idx="34">
                  <c:v>2.2761559947749821E-4</c:v>
                </c:pt>
                <c:pt idx="35">
                  <c:v>-9.9911769399060526E-7</c:v>
                </c:pt>
                <c:pt idx="36">
                  <c:v>-2.2715804405449449E-4</c:v>
                </c:pt>
                <c:pt idx="37">
                  <c:v>-4.5116853854932341E-4</c:v>
                </c:pt>
                <c:pt idx="38">
                  <c:v>-6.7341461234438516E-4</c:v>
                </c:pt>
                <c:pt idx="39">
                  <c:v>-8.9404200005707051E-4</c:v>
                </c:pt>
                <c:pt idx="40">
                  <c:v>-1.1132560050655332E-3</c:v>
                </c:pt>
                <c:pt idx="41">
                  <c:v>-1.3315002070407984E-3</c:v>
                </c:pt>
                <c:pt idx="42">
                  <c:v>-1.5487416324432375E-3</c:v>
                </c:pt>
                <c:pt idx="43">
                  <c:v>-1.765304724331311E-3</c:v>
                </c:pt>
                <c:pt idx="44">
                  <c:v>-1.9813947843220605E-3</c:v>
                </c:pt>
                <c:pt idx="45">
                  <c:v>-2.1969788374272027E-3</c:v>
                </c:pt>
                <c:pt idx="46">
                  <c:v>-2.4123813268756272E-3</c:v>
                </c:pt>
                <c:pt idx="47">
                  <c:v>-2.6275692765712535E-3</c:v>
                </c:pt>
                <c:pt idx="48">
                  <c:v>-2.8426288524275199E-3</c:v>
                </c:pt>
                <c:pt idx="49">
                  <c:v>-3.0576462169776661E-3</c:v>
                </c:pt>
                <c:pt idx="50">
                  <c:v>-3.2726479650451571E-3</c:v>
                </c:pt>
              </c:numCache>
            </c:numRef>
          </c:yVal>
          <c:smooth val="1"/>
        </c:ser>
        <c:axId val="257764736"/>
        <c:axId val="257889792"/>
      </c:scatterChart>
      <c:valAx>
        <c:axId val="257764736"/>
        <c:scaling>
          <c:orientation val="minMax"/>
        </c:scaling>
        <c:axPos val="b"/>
        <c:title>
          <c:tx>
            <c:rich>
              <a:bodyPr/>
              <a:lstStyle/>
              <a:p>
                <a:pPr>
                  <a:defRPr>
                    <a:latin typeface="Arial" pitchFamily="34" charset="0"/>
                    <a:cs typeface="Arial" pitchFamily="34" charset="0"/>
                  </a:defRPr>
                </a:pPr>
                <a:r>
                  <a:rPr lang="en-US" sz="1200">
                    <a:latin typeface="Arial" pitchFamily="34" charset="0"/>
                    <a:cs typeface="Arial" pitchFamily="34" charset="0"/>
                  </a:rPr>
                  <a:t>x</a:t>
                </a:r>
                <a:r>
                  <a:rPr lang="en-US" sz="1000" b="1" i="0" u="none" strike="noStrike" baseline="0">
                    <a:latin typeface="Arial" pitchFamily="34" charset="0"/>
                    <a:cs typeface="Arial" pitchFamily="34" charset="0"/>
                  </a:rPr>
                  <a:t> (m)</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889792"/>
        <c:crosses val="autoZero"/>
        <c:crossBetween val="midCat"/>
      </c:valAx>
      <c:valAx>
        <c:axId val="257889792"/>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W (cm)</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764736"/>
        <c:crosses val="autoZero"/>
        <c:crossBetween val="midCat"/>
      </c:valAx>
      <c:spPr>
        <a:noFill/>
        <a:ln w="25400">
          <a:noFill/>
        </a:ln>
      </c:spPr>
    </c:plotArea>
    <c:plotVisOnly val="1"/>
    <c:dispBlanksAs val="gap"/>
  </c:chart>
  <c:printSettings>
    <c:headerFooter/>
    <c:pageMargins b="0.75000000000000266" l="0.70000000000000162" r="0.700000000000001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latin typeface="Arial" pitchFamily="34" charset="0"/>
                <a:cs typeface="Arial" pitchFamily="34" charset="0"/>
              </a:defRPr>
            </a:pPr>
            <a:r>
              <a:rPr lang="en-US" sz="1200">
                <a:latin typeface="Arial" pitchFamily="34" charset="0"/>
                <a:cs typeface="Arial" pitchFamily="34" charset="0"/>
              </a:rPr>
              <a:t>Strong-axis deflection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Background!$R$3:$R$53</c:f>
              <c:numCache>
                <c:formatCode>General</c:formatCode>
                <c:ptCount val="51"/>
                <c:pt idx="0">
                  <c:v>2.1562422810491415E-2</c:v>
                </c:pt>
                <c:pt idx="1">
                  <c:v>2.1540752898068397E-2</c:v>
                </c:pt>
                <c:pt idx="2">
                  <c:v>2.1477203192640956E-2</c:v>
                </c:pt>
                <c:pt idx="3">
                  <c:v>2.1364629245721863E-2</c:v>
                </c:pt>
                <c:pt idx="4">
                  <c:v>2.1210331216347446E-2</c:v>
                </c:pt>
                <c:pt idx="5">
                  <c:v>2.1013004784083834E-2</c:v>
                </c:pt>
                <c:pt idx="6">
                  <c:v>2.0774265690806558E-2</c:v>
                </c:pt>
                <c:pt idx="7">
                  <c:v>2.0487125199092668E-2</c:v>
                </c:pt>
                <c:pt idx="8">
                  <c:v>2.0159039172860532E-2</c:v>
                </c:pt>
                <c:pt idx="9">
                  <c:v>1.9800383552763156E-2</c:v>
                </c:pt>
                <c:pt idx="10">
                  <c:v>1.9389880695816677E-2</c:v>
                </c:pt>
                <c:pt idx="11">
                  <c:v>1.8932222115896465E-2</c:v>
                </c:pt>
                <c:pt idx="12">
                  <c:v>1.844654392959303E-2</c:v>
                </c:pt>
                <c:pt idx="13">
                  <c:v>1.7920328691841344E-2</c:v>
                </c:pt>
                <c:pt idx="14">
                  <c:v>1.7367028115809448E-2</c:v>
                </c:pt>
                <c:pt idx="15">
                  <c:v>1.6768440288439691E-2</c:v>
                </c:pt>
                <c:pt idx="16">
                  <c:v>1.613233252772063E-2</c:v>
                </c:pt>
                <c:pt idx="17">
                  <c:v>1.5469392158996892E-2</c:v>
                </c:pt>
                <c:pt idx="18">
                  <c:v>1.4781702033638247E-2</c:v>
                </c:pt>
                <c:pt idx="19">
                  <c:v>1.403969143998509E-2</c:v>
                </c:pt>
                <c:pt idx="20">
                  <c:v>1.3297381521144316E-2</c:v>
                </c:pt>
                <c:pt idx="21">
                  <c:v>1.2519517123566526E-2</c:v>
                </c:pt>
                <c:pt idx="22">
                  <c:v>1.1719861375335705E-2</c:v>
                </c:pt>
                <c:pt idx="23">
                  <c:v>1.0880523753581166E-2</c:v>
                </c:pt>
                <c:pt idx="24">
                  <c:v>1.0044156545106873E-2</c:v>
                </c:pt>
                <c:pt idx="25">
                  <c:v>9.1641357895184666E-3</c:v>
                </c:pt>
                <c:pt idx="26">
                  <c:v>8.2774293042534551E-3</c:v>
                </c:pt>
                <c:pt idx="27">
                  <c:v>7.3893514041686219E-3</c:v>
                </c:pt>
                <c:pt idx="28">
                  <c:v>6.4735628026240553E-3</c:v>
                </c:pt>
                <c:pt idx="29">
                  <c:v>5.5642668907665465E-3</c:v>
                </c:pt>
                <c:pt idx="30">
                  <c:v>4.6409645999955949E-3</c:v>
                </c:pt>
                <c:pt idx="31">
                  <c:v>3.7091258179903449E-3</c:v>
                </c:pt>
                <c:pt idx="32">
                  <c:v>2.7540914633858E-3</c:v>
                </c:pt>
                <c:pt idx="33">
                  <c:v>1.8332697870375421E-3</c:v>
                </c:pt>
                <c:pt idx="34">
                  <c:v>9.032681601502785E-4</c:v>
                </c:pt>
                <c:pt idx="35">
                  <c:v>-1.0910781991605266E-5</c:v>
                </c:pt>
                <c:pt idx="36">
                  <c:v>-9.2936577312074638E-4</c:v>
                </c:pt>
                <c:pt idx="37">
                  <c:v>-1.8357685800153888E-3</c:v>
                </c:pt>
                <c:pt idx="38">
                  <c:v>-2.7215147451866589E-3</c:v>
                </c:pt>
                <c:pt idx="39">
                  <c:v>-3.6096534016517136E-3</c:v>
                </c:pt>
                <c:pt idx="40">
                  <c:v>-4.5087888310488301E-3</c:v>
                </c:pt>
                <c:pt idx="41">
                  <c:v>-5.3785076213833253E-3</c:v>
                </c:pt>
                <c:pt idx="42">
                  <c:v>-6.2561475137984761E-3</c:v>
                </c:pt>
                <c:pt idx="43">
                  <c:v>-7.1185039233520467E-3</c:v>
                </c:pt>
                <c:pt idx="44">
                  <c:v>-7.9970746808864443E-3</c:v>
                </c:pt>
                <c:pt idx="45">
                  <c:v>-8.8628148954947271E-3</c:v>
                </c:pt>
                <c:pt idx="46">
                  <c:v>-9.7298579431911794E-3</c:v>
                </c:pt>
                <c:pt idx="47">
                  <c:v>-1.0620941525591015E-2</c:v>
                </c:pt>
                <c:pt idx="48">
                  <c:v>-1.1475211357654993E-2</c:v>
                </c:pt>
                <c:pt idx="49">
                  <c:v>-1.2332614407677255E-2</c:v>
                </c:pt>
                <c:pt idx="50">
                  <c:v>-1.3218652572759837E-2</c:v>
                </c:pt>
              </c:numCache>
            </c:numRef>
          </c:yVal>
          <c:smooth val="1"/>
        </c:ser>
        <c:axId val="257819776"/>
        <c:axId val="257821696"/>
      </c:scatterChart>
      <c:valAx>
        <c:axId val="257819776"/>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(m)</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821696"/>
        <c:crosses val="autoZero"/>
        <c:crossBetween val="midCat"/>
      </c:valAx>
      <c:valAx>
        <c:axId val="257821696"/>
        <c:scaling>
          <c:orientation val="minMax"/>
        </c:scaling>
        <c:axPos val="l"/>
        <c:title>
          <c:tx>
            <c:rich>
              <a:bodyPr rot="0" vert="horz"/>
              <a:lstStyle/>
              <a:p>
                <a:pPr>
                  <a:defRPr>
                    <a:latin typeface="Arial" pitchFamily="34" charset="0"/>
                    <a:cs typeface="Arial" pitchFamily="34" charset="0"/>
                  </a:defRPr>
                </a:pPr>
                <a:r>
                  <a:rPr lang="en-US" sz="1200">
                    <a:latin typeface="Arial" pitchFamily="34" charset="0"/>
                    <a:cs typeface="Arial" pitchFamily="34" charset="0"/>
                  </a:rPr>
                  <a:t>V (cm)</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819776"/>
        <c:crosses val="autoZero"/>
        <c:crossBetween val="midCat"/>
      </c:valAx>
      <c:spPr>
        <a:noFill/>
        <a:ln w="25400">
          <a:noFill/>
        </a:ln>
      </c:spPr>
    </c:plotArea>
    <c:plotVisOnly val="1"/>
    <c:dispBlanksAs val="gap"/>
  </c:chart>
  <c:printSettings>
    <c:headerFooter/>
    <c:pageMargins b="0.75000000000000266" l="0.70000000000000162" r="0.700000000000001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latin typeface="Arial" pitchFamily="34" charset="0"/>
                <a:cs typeface="Arial" pitchFamily="34" charset="0"/>
              </a:defRPr>
            </a:pPr>
            <a:r>
              <a:rPr lang="en-US" sz="1200">
                <a:latin typeface="Arial" pitchFamily="34" charset="0"/>
                <a:cs typeface="Arial" pitchFamily="34" charset="0"/>
              </a:rPr>
              <a:t>Cross-sectional</a:t>
            </a:r>
            <a:r>
              <a:rPr lang="en-US" sz="1200" baseline="0">
                <a:latin typeface="Arial" pitchFamily="34" charset="0"/>
                <a:cs typeface="Arial" pitchFamily="34" charset="0"/>
              </a:rPr>
              <a:t> twist </a:t>
            </a:r>
            <a:r>
              <a:rPr lang="en-US" sz="1200" b="1" i="0" u="none" strike="noStrike" baseline="0">
                <a:latin typeface="Arial" pitchFamily="34" charset="0"/>
                <a:cs typeface="Arial" pitchFamily="34" charset="0"/>
              </a:rPr>
              <a:t>vs. position along right half of beam</a:t>
            </a:r>
            <a:endParaRPr lang="en-US" sz="1200">
              <a:latin typeface="Arial" pitchFamily="34" charset="0"/>
              <a:cs typeface="Arial" pitchFamily="34" charset="0"/>
            </a:endParaRPr>
          </a:p>
        </c:rich>
      </c:tx>
    </c:title>
    <c:plotArea>
      <c:layout/>
      <c:scatterChart>
        <c:scatterStyle val="smoothMarker"/>
        <c:ser>
          <c:idx val="0"/>
          <c:order val="0"/>
          <c:spPr>
            <a:ln>
              <a:solidFill>
                <a:sysClr val="windowText" lastClr="000000"/>
              </a:solidFill>
            </a:ln>
          </c:spPr>
          <c:marker>
            <c:symbol val="none"/>
          </c:marker>
          <c:xVal>
            <c:numRef>
              <c:f>Background!$L$3:$L$53</c:f>
              <c:numCache>
                <c:formatCode>General</c:formatCode>
                <c:ptCount val="51"/>
                <c:pt idx="0">
                  <c:v>0</c:v>
                </c:pt>
                <c:pt idx="1">
                  <c:v>0.4572</c:v>
                </c:pt>
                <c:pt idx="2">
                  <c:v>0.91439999999999999</c:v>
                </c:pt>
                <c:pt idx="3">
                  <c:v>1.3715999999999999</c:v>
                </c:pt>
                <c:pt idx="4">
                  <c:v>1.8288</c:v>
                </c:pt>
                <c:pt idx="5">
                  <c:v>2.286</c:v>
                </c:pt>
                <c:pt idx="6">
                  <c:v>2.7431999999999999</c:v>
                </c:pt>
                <c:pt idx="7">
                  <c:v>3.2003999999999997</c:v>
                </c:pt>
                <c:pt idx="8">
                  <c:v>3.6576</c:v>
                </c:pt>
                <c:pt idx="9">
                  <c:v>4.1147999999999998</c:v>
                </c:pt>
                <c:pt idx="10">
                  <c:v>4.5720000000000001</c:v>
                </c:pt>
                <c:pt idx="11">
                  <c:v>5.0291999999999994</c:v>
                </c:pt>
                <c:pt idx="12">
                  <c:v>5.4863999999999997</c:v>
                </c:pt>
                <c:pt idx="13">
                  <c:v>5.9436</c:v>
                </c:pt>
                <c:pt idx="14">
                  <c:v>6.4007999999999994</c:v>
                </c:pt>
                <c:pt idx="15">
                  <c:v>6.8579999999999997</c:v>
                </c:pt>
                <c:pt idx="16">
                  <c:v>7.3151999999999999</c:v>
                </c:pt>
                <c:pt idx="17">
                  <c:v>7.7724000000000002</c:v>
                </c:pt>
                <c:pt idx="18">
                  <c:v>8.2295999999999996</c:v>
                </c:pt>
                <c:pt idx="19">
                  <c:v>8.6867999999999999</c:v>
                </c:pt>
                <c:pt idx="20">
                  <c:v>9.1440000000000001</c:v>
                </c:pt>
                <c:pt idx="21">
                  <c:v>9.6012000000000004</c:v>
                </c:pt>
                <c:pt idx="22">
                  <c:v>10.058399999999999</c:v>
                </c:pt>
                <c:pt idx="23">
                  <c:v>10.515599999999999</c:v>
                </c:pt>
                <c:pt idx="24">
                  <c:v>10.972799999999999</c:v>
                </c:pt>
                <c:pt idx="25">
                  <c:v>11.43</c:v>
                </c:pt>
                <c:pt idx="26">
                  <c:v>11.8872</c:v>
                </c:pt>
                <c:pt idx="27">
                  <c:v>12.3444</c:v>
                </c:pt>
                <c:pt idx="28">
                  <c:v>12.801599999999999</c:v>
                </c:pt>
                <c:pt idx="29">
                  <c:v>13.258799999999999</c:v>
                </c:pt>
                <c:pt idx="30">
                  <c:v>13.715999999999999</c:v>
                </c:pt>
                <c:pt idx="31">
                  <c:v>14.1732</c:v>
                </c:pt>
                <c:pt idx="32">
                  <c:v>14.6304</c:v>
                </c:pt>
                <c:pt idx="33">
                  <c:v>15.0876</c:v>
                </c:pt>
                <c:pt idx="34">
                  <c:v>15.5448</c:v>
                </c:pt>
                <c:pt idx="35">
                  <c:v>16.001999999999999</c:v>
                </c:pt>
                <c:pt idx="36">
                  <c:v>16.459199999999999</c:v>
                </c:pt>
                <c:pt idx="37">
                  <c:v>16.916399999999999</c:v>
                </c:pt>
                <c:pt idx="38">
                  <c:v>17.3736</c:v>
                </c:pt>
                <c:pt idx="39">
                  <c:v>17.8308</c:v>
                </c:pt>
                <c:pt idx="40">
                  <c:v>18.288</c:v>
                </c:pt>
                <c:pt idx="41">
                  <c:v>18.745200000000001</c:v>
                </c:pt>
                <c:pt idx="42">
                  <c:v>19.202400000000001</c:v>
                </c:pt>
                <c:pt idx="43">
                  <c:v>19.659600000000001</c:v>
                </c:pt>
                <c:pt idx="44">
                  <c:v>20.116799999999998</c:v>
                </c:pt>
                <c:pt idx="45">
                  <c:v>20.574000000000002</c:v>
                </c:pt>
                <c:pt idx="46">
                  <c:v>21.031199999999998</c:v>
                </c:pt>
                <c:pt idx="47">
                  <c:v>21.488400000000002</c:v>
                </c:pt>
                <c:pt idx="48">
                  <c:v>21.945599999999999</c:v>
                </c:pt>
                <c:pt idx="49">
                  <c:v>22.402799999999999</c:v>
                </c:pt>
                <c:pt idx="50">
                  <c:v>22.86</c:v>
                </c:pt>
              </c:numCache>
            </c:numRef>
          </c:xVal>
          <c:yVal>
            <c:numRef>
              <c:f>Background!$S$3:$S$53</c:f>
              <c:numCache>
                <c:formatCode>General</c:formatCode>
                <c:ptCount val="51"/>
                <c:pt idx="0">
                  <c:v>-3.5648641999320328E-3</c:v>
                </c:pt>
                <c:pt idx="1">
                  <c:v>-3.5612250705483539E-3</c:v>
                </c:pt>
                <c:pt idx="2">
                  <c:v>-3.5502429649115017E-3</c:v>
                </c:pt>
                <c:pt idx="3">
                  <c:v>-3.5320014730283828E-3</c:v>
                </c:pt>
                <c:pt idx="4">
                  <c:v>-3.5064944274220003E-3</c:v>
                </c:pt>
                <c:pt idx="5">
                  <c:v>-3.4737846131231661E-3</c:v>
                </c:pt>
                <c:pt idx="6">
                  <c:v>-3.433964090172124E-3</c:v>
                </c:pt>
                <c:pt idx="7">
                  <c:v>-3.3871145161172285E-3</c:v>
                </c:pt>
                <c:pt idx="8">
                  <c:v>-3.3332674684361618E-3</c:v>
                </c:pt>
                <c:pt idx="9">
                  <c:v>-3.2726028322820223E-3</c:v>
                </c:pt>
                <c:pt idx="10">
                  <c:v>-3.2052107351454519E-3</c:v>
                </c:pt>
                <c:pt idx="11">
                  <c:v>-3.1312105795992485E-3</c:v>
                </c:pt>
                <c:pt idx="12">
                  <c:v>-3.0507907206418351E-3</c:v>
                </c:pt>
                <c:pt idx="13">
                  <c:v>-2.9640894332506268E-3</c:v>
                </c:pt>
                <c:pt idx="14">
                  <c:v>-2.871393300234545E-3</c:v>
                </c:pt>
                <c:pt idx="15">
                  <c:v>-2.7727404361505953E-3</c:v>
                </c:pt>
                <c:pt idx="16">
                  <c:v>-2.668436296287993E-3</c:v>
                </c:pt>
                <c:pt idx="17">
                  <c:v>-2.5586965781741683E-3</c:v>
                </c:pt>
                <c:pt idx="18">
                  <c:v>-2.4437662539835538E-3</c:v>
                </c:pt>
                <c:pt idx="19">
                  <c:v>-2.3238798938373913E-3</c:v>
                </c:pt>
                <c:pt idx="20">
                  <c:v>-2.1993410199609132E-3</c:v>
                </c:pt>
                <c:pt idx="21">
                  <c:v>-2.0704030745772625E-3</c:v>
                </c:pt>
                <c:pt idx="22">
                  <c:v>-1.937388453073076E-3</c:v>
                </c:pt>
                <c:pt idx="23">
                  <c:v>-1.8005694694706834E-3</c:v>
                </c:pt>
                <c:pt idx="24">
                  <c:v>-1.6603667463239487E-3</c:v>
                </c:pt>
                <c:pt idx="25">
                  <c:v>-1.5169921153728864E-3</c:v>
                </c:pt>
                <c:pt idx="26">
                  <c:v>-1.3709247489951219E-3</c:v>
                </c:pt>
                <c:pt idx="27">
                  <c:v>-1.2224747067033279E-3</c:v>
                </c:pt>
                <c:pt idx="28">
                  <c:v>-1.0720606780630626E-3</c:v>
                </c:pt>
                <c:pt idx="29">
                  <c:v>-9.200512709728626E-4</c:v>
                </c:pt>
                <c:pt idx="30">
                  <c:v>-7.6688404884080056E-4</c:v>
                </c:pt>
                <c:pt idx="31">
                  <c:v>-6.1302584733807135E-4</c:v>
                </c:pt>
                <c:pt idx="32">
                  <c:v>-4.5881406790092256E-4</c:v>
                </c:pt>
                <c:pt idx="33">
                  <c:v>-3.0485345237617662E-4</c:v>
                </c:pt>
                <c:pt idx="34">
                  <c:v>-1.5150027392358859E-4</c:v>
                </c:pt>
                <c:pt idx="35">
                  <c:v>5.1616220165953072E-8</c:v>
                </c:pt>
                <c:pt idx="36">
                  <c:v>1.613412520887844E-5</c:v>
                </c:pt>
                <c:pt idx="37">
                  <c:v>3.0882646393754881E-5</c:v>
                </c:pt>
                <c:pt idx="38">
                  <c:v>4.4326455014318997E-5</c:v>
                </c:pt>
                <c:pt idx="39">
                  <c:v>5.6696629418929087E-5</c:v>
                </c:pt>
                <c:pt idx="40">
                  <c:v>6.8252739989592073E-5</c:v>
                </c:pt>
                <c:pt idx="41">
                  <c:v>7.8994009690878752E-5</c:v>
                </c:pt>
                <c:pt idx="42">
                  <c:v>8.9236997379554689E-5</c:v>
                </c:pt>
                <c:pt idx="43">
                  <c:v>9.8922374659650945E-5</c:v>
                </c:pt>
                <c:pt idx="44">
                  <c:v>1.0825038307645939E-4</c:v>
                </c:pt>
                <c:pt idx="45">
                  <c:v>1.1739198981724039E-4</c:v>
                </c:pt>
                <c:pt idx="46">
                  <c:v>1.2631558016200614E-4</c:v>
                </c:pt>
                <c:pt idx="47">
                  <c:v>1.3513357125971562E-4</c:v>
                </c:pt>
                <c:pt idx="48">
                  <c:v>1.4381356518450593E-4</c:v>
                </c:pt>
                <c:pt idx="49">
                  <c:v>1.5252497108606379E-4</c:v>
                </c:pt>
                <c:pt idx="50">
                  <c:v>1.6123461003638185E-4</c:v>
                </c:pt>
              </c:numCache>
            </c:numRef>
          </c:yVal>
          <c:smooth val="1"/>
        </c:ser>
        <c:axId val="257841792"/>
        <c:axId val="257860352"/>
      </c:scatterChart>
      <c:valAx>
        <c:axId val="257841792"/>
        <c:scaling>
          <c:orientation val="minMax"/>
        </c:scaling>
        <c:axPos val="b"/>
        <c:title>
          <c:tx>
            <c:rich>
              <a:bodyPr/>
              <a:lstStyle/>
              <a:p>
                <a:pPr>
                  <a:defRPr sz="1200">
                    <a:latin typeface="Arial" pitchFamily="34" charset="0"/>
                    <a:cs typeface="Arial" pitchFamily="34" charset="0"/>
                  </a:defRPr>
                </a:pPr>
                <a:r>
                  <a:rPr lang="en-US" sz="1200">
                    <a:latin typeface="Arial" pitchFamily="34" charset="0"/>
                    <a:cs typeface="Arial" pitchFamily="34" charset="0"/>
                  </a:rPr>
                  <a:t>x</a:t>
                </a:r>
                <a:r>
                  <a:rPr lang="en-US" sz="1200" b="1" i="0" u="none" strike="noStrike" baseline="0">
                    <a:latin typeface="Arial" pitchFamily="34" charset="0"/>
                    <a:cs typeface="Arial" pitchFamily="34" charset="0"/>
                  </a:rPr>
                  <a:t> (m)</a:t>
                </a:r>
                <a:endParaRPr lang="en-US" sz="12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860352"/>
        <c:crosses val="autoZero"/>
        <c:crossBetween val="midCat"/>
      </c:valAx>
      <c:valAx>
        <c:axId val="257860352"/>
        <c:scaling>
          <c:orientation val="minMax"/>
        </c:scaling>
        <c:axPos val="l"/>
        <c:title>
          <c:tx>
            <c:rich>
              <a:bodyPr rot="0" vert="horz"/>
              <a:lstStyle/>
              <a:p>
                <a:pPr>
                  <a:defRPr/>
                </a:pPr>
                <a:r>
                  <a:rPr lang="el-GR" sz="1200"/>
                  <a:t>φ</a:t>
                </a:r>
                <a:r>
                  <a:rPr lang="en-US" sz="1200"/>
                  <a:t> </a:t>
                </a:r>
                <a:r>
                  <a:rPr lang="en-US" sz="1200">
                    <a:latin typeface="Arial" pitchFamily="34" charset="0"/>
                    <a:cs typeface="Arial" pitchFamily="34" charset="0"/>
                  </a:rPr>
                  <a:t>(deg)</a:t>
                </a:r>
                <a:endParaRPr lang="en-US" sz="1200" baseline="-25000">
                  <a:latin typeface="Arial" pitchFamily="34" charset="0"/>
                  <a:cs typeface="Arial" pitchFamily="34" charset="0"/>
                </a:endParaRPr>
              </a:p>
            </c:rich>
          </c:tx>
        </c:title>
        <c:numFmt formatCode="General" sourceLinked="1"/>
        <c:majorTickMark val="none"/>
        <c:tickLblPos val="nextTo"/>
        <c:txPr>
          <a:bodyPr/>
          <a:lstStyle/>
          <a:p>
            <a:pPr>
              <a:defRPr>
                <a:latin typeface="Arial" pitchFamily="34" charset="0"/>
                <a:cs typeface="Arial" pitchFamily="34" charset="0"/>
              </a:defRPr>
            </a:pPr>
            <a:endParaRPr lang="en-US"/>
          </a:p>
        </c:txPr>
        <c:crossAx val="257841792"/>
        <c:crosses val="autoZero"/>
        <c:crossBetween val="midCat"/>
      </c:valAx>
      <c:spPr>
        <a:noFill/>
        <a:ln w="25400">
          <a:noFill/>
        </a:ln>
      </c:spPr>
    </c:plotArea>
    <c:plotVisOnly val="1"/>
    <c:dispBlanksAs val="gap"/>
  </c:chart>
  <c:printSettings>
    <c:headerFooter/>
    <c:pageMargins b="0.75000000000000266" l="0.70000000000000162" r="0.700000000000001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xdr:row>
      <xdr:rowOff>0</xdr:rowOff>
    </xdr:from>
    <xdr:to>
      <xdr:col>14</xdr:col>
      <xdr:colOff>374687</xdr:colOff>
      <xdr:row>13</xdr:row>
      <xdr:rowOff>174655</xdr:rowOff>
    </xdr:to>
    <xdr:pic>
      <xdr:nvPicPr>
        <xdr:cNvPr id="2" name="Picture 1" descr="A-2.png"/>
        <xdr:cNvPicPr>
          <a:picLocks noChangeAspect="1"/>
        </xdr:cNvPicPr>
      </xdr:nvPicPr>
      <xdr:blipFill>
        <a:blip xmlns:r="http://schemas.openxmlformats.org/officeDocument/2006/relationships" r:embed="rId1"/>
        <a:stretch>
          <a:fillRect/>
        </a:stretch>
      </xdr:blipFill>
      <xdr:spPr>
        <a:xfrm>
          <a:off x="3133725" y="190500"/>
          <a:ext cx="5775362" cy="2460655"/>
        </a:xfrm>
        <a:prstGeom prst="rect">
          <a:avLst/>
        </a:prstGeom>
      </xdr:spPr>
    </xdr:pic>
    <xdr:clientData/>
  </xdr:twoCellAnchor>
  <xdr:twoCellAnchor editAs="oneCell">
    <xdr:from>
      <xdr:col>5</xdr:col>
      <xdr:colOff>533400</xdr:colOff>
      <xdr:row>15</xdr:row>
      <xdr:rowOff>180975</xdr:rowOff>
    </xdr:from>
    <xdr:to>
      <xdr:col>13</xdr:col>
      <xdr:colOff>585226</xdr:colOff>
      <xdr:row>28</xdr:row>
      <xdr:rowOff>189819</xdr:rowOff>
    </xdr:to>
    <xdr:pic>
      <xdr:nvPicPr>
        <xdr:cNvPr id="3" name="Picture 2" descr="A-3.png"/>
        <xdr:cNvPicPr>
          <a:picLocks noChangeAspect="1"/>
        </xdr:cNvPicPr>
      </xdr:nvPicPr>
      <xdr:blipFill>
        <a:blip xmlns:r="http://schemas.openxmlformats.org/officeDocument/2006/relationships" r:embed="rId2"/>
        <a:stretch>
          <a:fillRect/>
        </a:stretch>
      </xdr:blipFill>
      <xdr:spPr>
        <a:xfrm>
          <a:off x="3581400" y="3038475"/>
          <a:ext cx="4928626" cy="2485344"/>
        </a:xfrm>
        <a:prstGeom prst="rect">
          <a:avLst/>
        </a:prstGeom>
      </xdr:spPr>
    </xdr:pic>
    <xdr:clientData/>
  </xdr:twoCellAnchor>
  <xdr:twoCellAnchor editAs="oneCell">
    <xdr:from>
      <xdr:col>5</xdr:col>
      <xdr:colOff>323851</xdr:colOff>
      <xdr:row>30</xdr:row>
      <xdr:rowOff>57151</xdr:rowOff>
    </xdr:from>
    <xdr:to>
      <xdr:col>14</xdr:col>
      <xdr:colOff>192798</xdr:colOff>
      <xdr:row>48</xdr:row>
      <xdr:rowOff>186698</xdr:rowOff>
    </xdr:to>
    <xdr:pic>
      <xdr:nvPicPr>
        <xdr:cNvPr id="4" name="Picture 3" descr="A-4.png"/>
        <xdr:cNvPicPr>
          <a:picLocks noChangeAspect="1"/>
        </xdr:cNvPicPr>
      </xdr:nvPicPr>
      <xdr:blipFill>
        <a:blip xmlns:r="http://schemas.openxmlformats.org/officeDocument/2006/relationships" r:embed="rId3"/>
        <a:stretch>
          <a:fillRect/>
        </a:stretch>
      </xdr:blipFill>
      <xdr:spPr>
        <a:xfrm>
          <a:off x="3371851" y="5772151"/>
          <a:ext cx="5355347" cy="3558547"/>
        </a:xfrm>
        <a:prstGeom prst="rect">
          <a:avLst/>
        </a:prstGeom>
      </xdr:spPr>
    </xdr:pic>
    <xdr:clientData/>
  </xdr:twoCellAnchor>
  <xdr:twoCellAnchor editAs="oneCell">
    <xdr:from>
      <xdr:col>5</xdr:col>
      <xdr:colOff>228600</xdr:colOff>
      <xdr:row>50</xdr:row>
      <xdr:rowOff>180975</xdr:rowOff>
    </xdr:from>
    <xdr:to>
      <xdr:col>14</xdr:col>
      <xdr:colOff>317766</xdr:colOff>
      <xdr:row>64</xdr:row>
      <xdr:rowOff>105543</xdr:rowOff>
    </xdr:to>
    <xdr:pic>
      <xdr:nvPicPr>
        <xdr:cNvPr id="5" name="Picture 4" descr="A-5.png"/>
        <xdr:cNvPicPr>
          <a:picLocks noChangeAspect="1"/>
        </xdr:cNvPicPr>
      </xdr:nvPicPr>
      <xdr:blipFill>
        <a:blip xmlns:r="http://schemas.openxmlformats.org/officeDocument/2006/relationships" r:embed="rId4"/>
        <a:stretch>
          <a:fillRect/>
        </a:stretch>
      </xdr:blipFill>
      <xdr:spPr>
        <a:xfrm>
          <a:off x="3276600" y="9705975"/>
          <a:ext cx="5575566" cy="2591568"/>
        </a:xfrm>
        <a:prstGeom prst="rect">
          <a:avLst/>
        </a:prstGeom>
      </xdr:spPr>
    </xdr:pic>
    <xdr:clientData/>
  </xdr:twoCellAnchor>
  <xdr:twoCellAnchor editAs="oneCell">
    <xdr:from>
      <xdr:col>5</xdr:col>
      <xdr:colOff>123826</xdr:colOff>
      <xdr:row>65</xdr:row>
      <xdr:rowOff>76199</xdr:rowOff>
    </xdr:from>
    <xdr:to>
      <xdr:col>14</xdr:col>
      <xdr:colOff>559641</xdr:colOff>
      <xdr:row>84</xdr:row>
      <xdr:rowOff>171335</xdr:rowOff>
    </xdr:to>
    <xdr:pic>
      <xdr:nvPicPr>
        <xdr:cNvPr id="6" name="Picture 5" descr="A-6789.png"/>
        <xdr:cNvPicPr>
          <a:picLocks noChangeAspect="1"/>
        </xdr:cNvPicPr>
      </xdr:nvPicPr>
      <xdr:blipFill>
        <a:blip xmlns:r="http://schemas.openxmlformats.org/officeDocument/2006/relationships" r:embed="rId5"/>
        <a:stretch>
          <a:fillRect/>
        </a:stretch>
      </xdr:blipFill>
      <xdr:spPr>
        <a:xfrm>
          <a:off x="3171826" y="12458699"/>
          <a:ext cx="5922215" cy="37146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38100</xdr:rowOff>
    </xdr:from>
    <xdr:to>
      <xdr:col>7</xdr:col>
      <xdr:colOff>323850</xdr:colOff>
      <xdr:row>14</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349250</xdr:colOff>
      <xdr:row>0</xdr:row>
      <xdr:rowOff>42334</xdr:rowOff>
    </xdr:from>
    <xdr:to>
      <xdr:col>15</xdr:col>
      <xdr:colOff>40216</xdr:colOff>
      <xdr:row>14</xdr:row>
      <xdr:rowOff>118534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95250</xdr:colOff>
      <xdr:row>0</xdr:row>
      <xdr:rowOff>31750</xdr:rowOff>
    </xdr:from>
    <xdr:to>
      <xdr:col>22</xdr:col>
      <xdr:colOff>400050</xdr:colOff>
      <xdr:row>14</xdr:row>
      <xdr:rowOff>107950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23813</xdr:colOff>
      <xdr:row>15</xdr:row>
      <xdr:rowOff>23813</xdr:rowOff>
    </xdr:from>
    <xdr:to>
      <xdr:col>7</xdr:col>
      <xdr:colOff>328613</xdr:colOff>
      <xdr:row>29</xdr:row>
      <xdr:rowOff>100013</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381000</xdr:colOff>
      <xdr:row>15</xdr:row>
      <xdr:rowOff>11906</xdr:rowOff>
    </xdr:from>
    <xdr:to>
      <xdr:col>15</xdr:col>
      <xdr:colOff>78581</xdr:colOff>
      <xdr:row>29</xdr:row>
      <xdr:rowOff>88106</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142875</xdr:colOff>
      <xdr:row>14</xdr:row>
      <xdr:rowOff>178594</xdr:rowOff>
    </xdr:from>
    <xdr:to>
      <xdr:col>22</xdr:col>
      <xdr:colOff>447674</xdr:colOff>
      <xdr:row>29</xdr:row>
      <xdr:rowOff>64294</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sheetPr enableFormatConditionsCalculation="0">
    <pageSetUpPr autoPageBreaks="0"/>
  </sheetPr>
  <dimension ref="B1:W37"/>
  <sheetViews>
    <sheetView tabSelected="1" zoomScale="90" zoomScaleNormal="90" zoomScalePageLayoutView="90" workbookViewId="0">
      <selection activeCell="O12" sqref="O12"/>
    </sheetView>
  </sheetViews>
  <sheetFormatPr defaultColWidth="8.85546875" defaultRowHeight="14.25"/>
  <cols>
    <col min="1" max="1" width="2.140625" style="2" customWidth="1"/>
    <col min="2" max="2" width="9.140625" style="2" customWidth="1"/>
    <col min="3" max="4" width="8.85546875" style="2"/>
    <col min="5" max="6" width="9.140625" style="2" customWidth="1"/>
    <col min="7" max="7" width="11.42578125" style="2" bestFit="1" customWidth="1"/>
    <col min="8" max="8" width="2.85546875" style="2" customWidth="1"/>
    <col min="9" max="9" width="10" style="2" customWidth="1"/>
    <col min="10" max="10" width="10.28515625" style="2" customWidth="1"/>
    <col min="11" max="11" width="12" style="2" customWidth="1"/>
    <col min="12" max="12" width="8.85546875" style="2"/>
    <col min="13" max="13" width="4.42578125" style="2" customWidth="1"/>
    <col min="14" max="14" width="10.42578125" style="2" bestFit="1" customWidth="1"/>
    <col min="15" max="16384" width="8.85546875" style="2"/>
  </cols>
  <sheetData>
    <row r="1" spans="2:23" ht="15" thickBot="1"/>
    <row r="2" spans="2:23" ht="15.75" thickBot="1">
      <c r="B2" s="108" t="s">
        <v>48</v>
      </c>
      <c r="C2" s="109"/>
      <c r="D2" s="109"/>
      <c r="E2" s="109"/>
      <c r="F2" s="109"/>
      <c r="G2" s="110"/>
      <c r="I2" s="121" t="s">
        <v>51</v>
      </c>
      <c r="J2" s="122"/>
      <c r="K2" s="80">
        <v>0</v>
      </c>
      <c r="L2" s="76" t="s">
        <v>83</v>
      </c>
      <c r="N2" s="87"/>
      <c r="O2" s="87"/>
      <c r="P2" s="87"/>
      <c r="Q2" s="87"/>
      <c r="R2" s="87"/>
      <c r="S2" s="87"/>
      <c r="T2" s="87"/>
      <c r="U2" s="87"/>
      <c r="V2" s="87"/>
      <c r="W2" s="87"/>
    </row>
    <row r="3" spans="2:23" ht="15" customHeight="1">
      <c r="B3" s="111" t="s">
        <v>92</v>
      </c>
      <c r="C3" s="112"/>
      <c r="D3" s="112"/>
      <c r="E3" s="112"/>
      <c r="F3" s="89">
        <f>6.2*10^7</f>
        <v>62000000</v>
      </c>
      <c r="G3" s="90" t="s">
        <v>82</v>
      </c>
      <c r="I3" s="123" t="s">
        <v>116</v>
      </c>
      <c r="J3" s="123"/>
      <c r="K3" s="123"/>
      <c r="L3" s="123"/>
      <c r="M3" s="123"/>
      <c r="N3" s="88"/>
      <c r="O3" s="87"/>
      <c r="P3" s="87"/>
      <c r="Q3" s="87"/>
      <c r="R3" s="87"/>
      <c r="S3" s="87"/>
      <c r="T3" s="87"/>
      <c r="U3" s="87"/>
      <c r="V3" s="87"/>
      <c r="W3" s="87"/>
    </row>
    <row r="4" spans="2:23" ht="15">
      <c r="B4" s="113" t="s">
        <v>93</v>
      </c>
      <c r="C4" s="114"/>
      <c r="D4" s="114"/>
      <c r="E4" s="114"/>
      <c r="F4" s="7">
        <v>0.25</v>
      </c>
      <c r="G4" s="48" t="s">
        <v>50</v>
      </c>
      <c r="I4" s="123"/>
      <c r="J4" s="123"/>
      <c r="K4" s="123"/>
      <c r="L4" s="123"/>
      <c r="M4" s="123"/>
      <c r="N4" s="87"/>
      <c r="O4" s="87"/>
      <c r="P4" s="87"/>
      <c r="Q4" s="87"/>
      <c r="R4" s="87"/>
      <c r="S4" s="87"/>
      <c r="T4" s="87"/>
      <c r="U4" s="87"/>
      <c r="V4" s="87"/>
      <c r="W4" s="87"/>
    </row>
    <row r="5" spans="2:23" ht="15" customHeight="1" thickBot="1">
      <c r="B5" s="113" t="s">
        <v>94</v>
      </c>
      <c r="C5" s="114"/>
      <c r="D5" s="114"/>
      <c r="E5" s="114"/>
      <c r="F5" s="7">
        <v>2.48</v>
      </c>
      <c r="G5" s="48" t="s">
        <v>50</v>
      </c>
      <c r="I5" s="47"/>
      <c r="J5" s="47"/>
      <c r="K5" s="47"/>
      <c r="L5" s="47"/>
      <c r="N5" s="87"/>
      <c r="O5" s="87"/>
      <c r="P5" s="87"/>
      <c r="Q5" s="87"/>
      <c r="R5" s="87"/>
      <c r="S5" s="87"/>
      <c r="T5" s="87"/>
      <c r="U5" s="87"/>
      <c r="V5" s="87"/>
      <c r="W5" s="87"/>
    </row>
    <row r="6" spans="2:23" ht="15" customHeight="1" thickBot="1">
      <c r="B6" s="129" t="s">
        <v>95</v>
      </c>
      <c r="C6" s="130"/>
      <c r="D6" s="130"/>
      <c r="E6" s="130"/>
      <c r="F6" s="10">
        <f>2.5*10^7</f>
        <v>25000000</v>
      </c>
      <c r="G6" s="49" t="s">
        <v>82</v>
      </c>
      <c r="I6" s="124" t="s">
        <v>69</v>
      </c>
      <c r="J6" s="125"/>
      <c r="K6" s="52"/>
      <c r="L6" s="68"/>
      <c r="N6" s="87"/>
      <c r="O6" s="87"/>
      <c r="P6" s="87"/>
      <c r="Q6" s="87"/>
      <c r="R6" s="87"/>
      <c r="S6" s="87"/>
      <c r="T6" s="87"/>
      <c r="U6" s="87"/>
      <c r="V6" s="87"/>
      <c r="W6" s="87"/>
    </row>
    <row r="7" spans="2:23" ht="15">
      <c r="I7" s="119" t="s">
        <v>108</v>
      </c>
      <c r="J7" s="120"/>
      <c r="K7" s="81">
        <f>Background!F8*180/PI()</f>
        <v>0.56863625103315718</v>
      </c>
      <c r="L7" s="78" t="s">
        <v>74</v>
      </c>
      <c r="N7" s="87"/>
      <c r="O7" s="87"/>
      <c r="P7" s="87"/>
      <c r="Q7" s="87"/>
      <c r="R7" s="87"/>
      <c r="S7" s="87"/>
      <c r="T7" s="87"/>
      <c r="U7" s="87"/>
      <c r="V7" s="87"/>
      <c r="W7" s="87"/>
    </row>
    <row r="8" spans="2:23" ht="15.75" customHeight="1">
      <c r="I8" s="69"/>
      <c r="J8" s="51"/>
      <c r="K8" s="51"/>
      <c r="L8" s="70"/>
      <c r="N8" s="87"/>
      <c r="O8" s="87"/>
      <c r="P8" s="87"/>
      <c r="Q8" s="87"/>
      <c r="R8" s="87"/>
      <c r="S8" s="87"/>
      <c r="T8" s="87"/>
      <c r="U8" s="87"/>
      <c r="V8" s="87"/>
      <c r="W8" s="87"/>
    </row>
    <row r="9" spans="2:23" ht="15" customHeight="1" thickBot="1">
      <c r="B9" s="3"/>
      <c r="C9" s="3"/>
      <c r="G9" s="4"/>
      <c r="I9" s="117" t="s">
        <v>70</v>
      </c>
      <c r="J9" s="118"/>
      <c r="K9" s="51"/>
      <c r="L9" s="70"/>
      <c r="N9" s="87"/>
      <c r="O9" s="87"/>
      <c r="P9" s="87"/>
      <c r="Q9" s="87"/>
      <c r="R9" s="87"/>
      <c r="S9" s="87"/>
      <c r="T9" s="87"/>
      <c r="U9" s="87"/>
      <c r="V9" s="87"/>
      <c r="W9" s="87"/>
    </row>
    <row r="10" spans="2:23" ht="19.5" thickBot="1">
      <c r="B10" s="126" t="s">
        <v>49</v>
      </c>
      <c r="C10" s="127"/>
      <c r="D10" s="127"/>
      <c r="E10" s="127"/>
      <c r="F10" s="127"/>
      <c r="G10" s="128"/>
      <c r="I10" s="115" t="s">
        <v>109</v>
      </c>
      <c r="J10" s="116"/>
      <c r="K10" s="83">
        <f>IF(K2&lt;(F11/2-F20),Background!F26,Background!H26)</f>
        <v>0</v>
      </c>
      <c r="L10" s="77" t="s">
        <v>88</v>
      </c>
      <c r="N10" s="87"/>
      <c r="O10" s="87"/>
      <c r="P10" s="87"/>
      <c r="Q10" s="87"/>
      <c r="R10" s="87"/>
      <c r="S10" s="87"/>
      <c r="T10" s="87"/>
      <c r="U10" s="87"/>
      <c r="V10" s="87"/>
      <c r="W10" s="87"/>
    </row>
    <row r="11" spans="2:23" ht="18.75">
      <c r="B11" s="138" t="s">
        <v>96</v>
      </c>
      <c r="C11" s="139"/>
      <c r="D11" s="139"/>
      <c r="E11" s="139"/>
      <c r="F11" s="93">
        <v>45.72</v>
      </c>
      <c r="G11" s="94" t="s">
        <v>83</v>
      </c>
      <c r="I11" s="115" t="s">
        <v>118</v>
      </c>
      <c r="J11" s="116"/>
      <c r="K11" s="83">
        <f>IF(K2&lt;(F11/2-F20),Background!F27,Background!H27)</f>
        <v>0</v>
      </c>
      <c r="L11" s="77" t="s">
        <v>88</v>
      </c>
      <c r="N11" s="87"/>
      <c r="O11" s="87"/>
      <c r="P11" s="87"/>
      <c r="Q11" s="87"/>
      <c r="R11" s="87"/>
      <c r="S11" s="87"/>
      <c r="T11" s="87"/>
      <c r="U11" s="87"/>
      <c r="V11" s="87"/>
      <c r="W11" s="87"/>
    </row>
    <row r="12" spans="2:23" ht="18.75">
      <c r="B12" s="132" t="s">
        <v>97</v>
      </c>
      <c r="C12" s="133"/>
      <c r="D12" s="133"/>
      <c r="E12" s="133"/>
      <c r="F12" s="8">
        <v>0.46300000000000002</v>
      </c>
      <c r="G12" s="50" t="s">
        <v>84</v>
      </c>
      <c r="I12" s="115" t="s">
        <v>119</v>
      </c>
      <c r="J12" s="116"/>
      <c r="K12" s="83">
        <f>IF(K2&lt;(F11/2-F20),Background!F28,Background!H28)</f>
        <v>0</v>
      </c>
      <c r="L12" s="77" t="s">
        <v>88</v>
      </c>
      <c r="N12" s="87"/>
      <c r="O12" s="87"/>
      <c r="P12" s="87"/>
      <c r="Q12" s="87"/>
      <c r="R12" s="87"/>
      <c r="S12" s="87"/>
      <c r="T12" s="87"/>
      <c r="U12" s="87"/>
      <c r="V12" s="87"/>
      <c r="W12" s="87"/>
    </row>
    <row r="13" spans="2:23" ht="18.75">
      <c r="B13" s="132" t="s">
        <v>98</v>
      </c>
      <c r="C13" s="133"/>
      <c r="D13" s="133"/>
      <c r="E13" s="133"/>
      <c r="F13" s="8">
        <f>0.0899</f>
        <v>8.9899999999999994E-2</v>
      </c>
      <c r="G13" s="50" t="s">
        <v>85</v>
      </c>
      <c r="I13" s="69"/>
      <c r="J13" s="51"/>
      <c r="K13" s="12"/>
      <c r="L13" s="70"/>
      <c r="N13" s="87"/>
      <c r="O13" s="87"/>
      <c r="P13" s="87"/>
      <c r="Q13" s="87"/>
      <c r="R13" s="87"/>
      <c r="S13" s="87"/>
      <c r="T13" s="87"/>
      <c r="U13" s="87"/>
      <c r="V13" s="87"/>
      <c r="W13" s="87"/>
    </row>
    <row r="14" spans="2:23" ht="18.75">
      <c r="B14" s="132" t="s">
        <v>99</v>
      </c>
      <c r="C14" s="133"/>
      <c r="D14" s="133"/>
      <c r="E14" s="133"/>
      <c r="F14" s="8">
        <f>3.59624*10^-3</f>
        <v>3.5962400000000001E-3</v>
      </c>
      <c r="G14" s="50" t="s">
        <v>85</v>
      </c>
      <c r="I14" s="117" t="s">
        <v>71</v>
      </c>
      <c r="J14" s="118"/>
      <c r="K14" s="51"/>
      <c r="L14" s="70"/>
      <c r="N14" s="87"/>
      <c r="O14" s="87"/>
      <c r="P14" s="87"/>
      <c r="Q14" s="87"/>
      <c r="R14" s="87"/>
      <c r="S14" s="87"/>
      <c r="T14" s="87"/>
      <c r="U14" s="87"/>
      <c r="V14" s="87"/>
      <c r="W14" s="87"/>
    </row>
    <row r="15" spans="2:23" ht="18.75">
      <c r="B15" s="132" t="s">
        <v>100</v>
      </c>
      <c r="C15" s="133"/>
      <c r="D15" s="133"/>
      <c r="E15" s="133"/>
      <c r="F15" s="8">
        <v>0</v>
      </c>
      <c r="G15" s="50" t="s">
        <v>86</v>
      </c>
      <c r="I15" s="115" t="s">
        <v>110</v>
      </c>
      <c r="J15" s="116"/>
      <c r="K15" s="82">
        <f>IF(K2&lt;(F11/2-F20),Background!F29,Background!H29)</f>
        <v>0</v>
      </c>
      <c r="L15" s="77" t="s">
        <v>89</v>
      </c>
      <c r="N15" s="87"/>
      <c r="O15" s="87"/>
      <c r="P15" s="87"/>
      <c r="Q15" s="87"/>
      <c r="R15" s="87"/>
      <c r="S15" s="87"/>
      <c r="T15" s="87"/>
      <c r="U15" s="87"/>
      <c r="V15" s="87"/>
      <c r="W15" s="87"/>
    </row>
    <row r="16" spans="2:23" ht="18.75">
      <c r="B16" s="132" t="s">
        <v>101</v>
      </c>
      <c r="C16" s="133"/>
      <c r="D16" s="133"/>
      <c r="E16" s="133"/>
      <c r="F16" s="8">
        <f>0.0144</f>
        <v>1.44E-2</v>
      </c>
      <c r="G16" s="50" t="s">
        <v>85</v>
      </c>
      <c r="I16" s="115" t="s">
        <v>111</v>
      </c>
      <c r="J16" s="116"/>
      <c r="K16" s="83">
        <f>IF(K2&lt;(F11/2-F20),Background!F30,Background!H30)</f>
        <v>11.71588533635574</v>
      </c>
      <c r="L16" s="77" t="s">
        <v>89</v>
      </c>
      <c r="N16" s="87"/>
      <c r="O16" s="87"/>
      <c r="P16" s="87"/>
      <c r="Q16" s="87"/>
      <c r="R16" s="87"/>
      <c r="S16" s="87"/>
      <c r="T16" s="87"/>
      <c r="U16" s="87"/>
      <c r="V16" s="87"/>
      <c r="W16" s="87"/>
    </row>
    <row r="17" spans="2:23" ht="18.75">
      <c r="B17" s="132" t="s">
        <v>106</v>
      </c>
      <c r="C17" s="133"/>
      <c r="D17" s="133"/>
      <c r="E17" s="133"/>
      <c r="F17" s="9">
        <f>11.3</f>
        <v>11.3</v>
      </c>
      <c r="G17" s="50" t="s">
        <v>87</v>
      </c>
      <c r="I17" s="115" t="s">
        <v>112</v>
      </c>
      <c r="J17" s="116"/>
      <c r="K17" s="84">
        <f>(IF(K2&lt;(F11/2-F20),Background!F31,Background!H31))*(-1)</f>
        <v>1180.4536595200918</v>
      </c>
      <c r="L17" s="77" t="s">
        <v>89</v>
      </c>
      <c r="N17" s="87"/>
      <c r="O17" s="87"/>
      <c r="P17" s="87"/>
      <c r="Q17" s="87"/>
      <c r="R17" s="87"/>
      <c r="S17" s="87"/>
      <c r="T17" s="87"/>
      <c r="U17" s="87"/>
      <c r="V17" s="87"/>
      <c r="W17" s="87"/>
    </row>
    <row r="18" spans="2:23" ht="15" customHeight="1">
      <c r="B18" s="132" t="s">
        <v>102</v>
      </c>
      <c r="C18" s="133"/>
      <c r="D18" s="133"/>
      <c r="E18" s="133"/>
      <c r="F18" s="8">
        <v>0.91</v>
      </c>
      <c r="G18" s="50" t="s">
        <v>83</v>
      </c>
      <c r="I18" s="69"/>
      <c r="J18" s="51"/>
      <c r="K18" s="51"/>
      <c r="L18" s="70"/>
      <c r="N18" s="87"/>
      <c r="O18" s="87"/>
      <c r="P18" s="87"/>
      <c r="Q18" s="87"/>
      <c r="R18" s="87"/>
      <c r="S18" s="87"/>
      <c r="T18" s="87"/>
      <c r="U18" s="87"/>
      <c r="V18" s="87"/>
      <c r="W18" s="87"/>
    </row>
    <row r="19" spans="2:23" ht="15" customHeight="1">
      <c r="B19" s="132" t="s">
        <v>103</v>
      </c>
      <c r="C19" s="133"/>
      <c r="D19" s="133"/>
      <c r="E19" s="133"/>
      <c r="F19" s="8">
        <v>0</v>
      </c>
      <c r="G19" s="50" t="s">
        <v>72</v>
      </c>
      <c r="I19" s="117" t="s">
        <v>73</v>
      </c>
      <c r="J19" s="118"/>
      <c r="K19" s="51"/>
      <c r="L19" s="77"/>
      <c r="N19" s="87"/>
      <c r="O19" s="87"/>
      <c r="P19" s="87"/>
      <c r="Q19" s="87"/>
      <c r="R19" s="87"/>
      <c r="S19" s="87"/>
      <c r="T19" s="87"/>
      <c r="U19" s="87"/>
      <c r="V19" s="87"/>
      <c r="W19" s="87"/>
    </row>
    <row r="20" spans="2:23" ht="15">
      <c r="B20" s="132" t="s">
        <v>104</v>
      </c>
      <c r="C20" s="133"/>
      <c r="D20" s="133"/>
      <c r="E20" s="133"/>
      <c r="F20" s="8">
        <v>6.86</v>
      </c>
      <c r="G20" s="50" t="s">
        <v>83</v>
      </c>
      <c r="I20" s="115" t="s">
        <v>113</v>
      </c>
      <c r="J20" s="116"/>
      <c r="K20" s="83">
        <f>IF(K2&lt;(0.5*F11-F20),Background!F33,Background!H33)*100</f>
        <v>2.1562422810491415</v>
      </c>
      <c r="L20" s="77" t="s">
        <v>90</v>
      </c>
      <c r="N20" s="87"/>
      <c r="O20" s="87"/>
      <c r="P20" s="87"/>
      <c r="Q20" s="87"/>
      <c r="R20" s="87"/>
      <c r="S20" s="87"/>
      <c r="T20" s="87"/>
      <c r="U20" s="87"/>
      <c r="V20" s="87"/>
      <c r="W20" s="87"/>
    </row>
    <row r="21" spans="2:23" ht="15">
      <c r="B21" s="132" t="s">
        <v>107</v>
      </c>
      <c r="C21" s="133"/>
      <c r="D21" s="133"/>
      <c r="E21" s="133"/>
      <c r="F21" s="8">
        <v>1E-3</v>
      </c>
      <c r="G21" s="50" t="s">
        <v>50</v>
      </c>
      <c r="I21" s="115" t="s">
        <v>114</v>
      </c>
      <c r="J21" s="116"/>
      <c r="K21" s="83">
        <f>IF(K2&lt;(0.5*F11-F20),Background!F32,Background!H32)*100</f>
        <v>0.53524514117383326</v>
      </c>
      <c r="L21" s="77" t="s">
        <v>90</v>
      </c>
      <c r="N21" s="87"/>
      <c r="O21" s="87"/>
      <c r="P21" s="87"/>
      <c r="Q21" s="87"/>
      <c r="R21" s="87"/>
      <c r="S21" s="87"/>
      <c r="T21" s="87"/>
      <c r="U21" s="87"/>
      <c r="V21" s="87"/>
      <c r="W21" s="87"/>
    </row>
    <row r="22" spans="2:23" ht="19.5" thickBot="1">
      <c r="B22" s="136" t="s">
        <v>105</v>
      </c>
      <c r="C22" s="137"/>
      <c r="D22" s="137"/>
      <c r="E22" s="137"/>
      <c r="F22" s="11">
        <v>0</v>
      </c>
      <c r="G22" s="92" t="s">
        <v>83</v>
      </c>
      <c r="I22" s="69"/>
      <c r="J22" s="51"/>
      <c r="K22" s="51"/>
      <c r="L22" s="70"/>
      <c r="N22" s="87"/>
      <c r="O22" s="87"/>
      <c r="P22" s="87"/>
      <c r="Q22" s="87"/>
      <c r="R22" s="87"/>
      <c r="S22" s="87"/>
      <c r="T22" s="87"/>
      <c r="U22" s="87"/>
      <c r="V22" s="87"/>
      <c r="W22" s="87"/>
    </row>
    <row r="23" spans="2:23" ht="15.75" thickBot="1">
      <c r="B23" s="5"/>
      <c r="C23" s="3"/>
      <c r="I23" s="134" t="s">
        <v>81</v>
      </c>
      <c r="J23" s="135"/>
      <c r="K23" s="85">
        <f>IF(K2&lt;(0.5*F11-F20),Background!F22*180/PI(),Background!H22*180/PI())</f>
        <v>-3.5648641999320328E-3</v>
      </c>
      <c r="L23" s="79" t="s">
        <v>74</v>
      </c>
      <c r="N23" s="87"/>
      <c r="O23" s="87"/>
      <c r="P23" s="87"/>
      <c r="Q23" s="87"/>
      <c r="R23" s="87"/>
      <c r="S23" s="87"/>
      <c r="T23" s="87"/>
      <c r="U23" s="87"/>
      <c r="V23" s="87"/>
      <c r="W23" s="87"/>
    </row>
    <row r="24" spans="2:23">
      <c r="N24" s="87"/>
      <c r="O24" s="87"/>
      <c r="P24" s="87"/>
      <c r="Q24" s="87"/>
      <c r="R24" s="87"/>
      <c r="S24" s="87"/>
      <c r="T24" s="87"/>
      <c r="U24" s="87"/>
      <c r="V24" s="87"/>
      <c r="W24" s="87"/>
    </row>
    <row r="25" spans="2:23" ht="15">
      <c r="B25" s="91" t="s">
        <v>91</v>
      </c>
      <c r="N25" s="87"/>
      <c r="O25" s="87"/>
      <c r="P25" s="87"/>
      <c r="Q25" s="87"/>
      <c r="R25" s="87"/>
      <c r="S25" s="87"/>
      <c r="T25" s="87"/>
      <c r="U25" s="87"/>
      <c r="V25" s="87"/>
      <c r="W25" s="87"/>
    </row>
    <row r="26" spans="2:23" ht="12.95" customHeight="1">
      <c r="B26" s="131" t="s">
        <v>117</v>
      </c>
      <c r="C26" s="131"/>
      <c r="D26" s="131"/>
      <c r="E26" s="131"/>
      <c r="F26" s="131"/>
      <c r="G26" s="131"/>
      <c r="H26" s="131"/>
      <c r="I26" s="131"/>
      <c r="J26" s="131"/>
      <c r="K26" s="131"/>
      <c r="L26" s="131"/>
      <c r="M26" s="131"/>
      <c r="N26" s="131"/>
      <c r="O26" s="131"/>
      <c r="P26" s="87"/>
      <c r="Q26" s="87"/>
      <c r="R26" s="87"/>
      <c r="S26" s="87"/>
      <c r="T26" s="87"/>
      <c r="U26" s="87"/>
      <c r="V26" s="87"/>
      <c r="W26" s="87"/>
    </row>
    <row r="27" spans="2:23">
      <c r="B27" s="131"/>
      <c r="C27" s="131"/>
      <c r="D27" s="131"/>
      <c r="E27" s="131"/>
      <c r="F27" s="131"/>
      <c r="G27" s="131"/>
      <c r="H27" s="131"/>
      <c r="I27" s="131"/>
      <c r="J27" s="131"/>
      <c r="K27" s="131"/>
      <c r="L27" s="131"/>
      <c r="M27" s="131"/>
      <c r="N27" s="131"/>
      <c r="O27" s="131"/>
    </row>
    <row r="28" spans="2:23">
      <c r="B28" s="131"/>
      <c r="C28" s="131"/>
      <c r="D28" s="131"/>
      <c r="E28" s="131"/>
      <c r="F28" s="131"/>
      <c r="G28" s="131"/>
      <c r="H28" s="131"/>
      <c r="I28" s="131"/>
      <c r="J28" s="131"/>
      <c r="K28" s="131"/>
      <c r="L28" s="131"/>
      <c r="M28" s="131"/>
      <c r="N28" s="131"/>
      <c r="O28" s="131"/>
    </row>
    <row r="29" spans="2:23">
      <c r="B29" s="131"/>
      <c r="C29" s="131"/>
      <c r="D29" s="131"/>
      <c r="E29" s="131"/>
      <c r="F29" s="131"/>
      <c r="G29" s="131"/>
      <c r="H29" s="131"/>
      <c r="I29" s="131"/>
      <c r="J29" s="131"/>
      <c r="K29" s="131"/>
      <c r="L29" s="131"/>
      <c r="M29" s="131"/>
      <c r="N29" s="131"/>
      <c r="O29" s="131"/>
    </row>
    <row r="30" spans="2:23">
      <c r="B30" s="131"/>
      <c r="C30" s="131"/>
      <c r="D30" s="131"/>
      <c r="E30" s="131"/>
      <c r="F30" s="131"/>
      <c r="G30" s="131"/>
      <c r="H30" s="131"/>
      <c r="I30" s="131"/>
      <c r="J30" s="131"/>
      <c r="K30" s="131"/>
      <c r="L30" s="131"/>
      <c r="M30" s="131"/>
      <c r="N30" s="131"/>
      <c r="O30" s="131"/>
    </row>
    <row r="31" spans="2:23" ht="15" customHeight="1">
      <c r="B31" s="131"/>
      <c r="C31" s="131"/>
      <c r="D31" s="131"/>
      <c r="E31" s="131"/>
      <c r="F31" s="131"/>
      <c r="G31" s="131"/>
      <c r="H31" s="131"/>
      <c r="I31" s="131"/>
      <c r="J31" s="131"/>
      <c r="K31" s="131"/>
      <c r="L31" s="131"/>
      <c r="M31" s="131"/>
      <c r="N31" s="131"/>
      <c r="O31" s="131"/>
    </row>
    <row r="37" spans="3:3">
      <c r="C37" s="6"/>
    </row>
  </sheetData>
  <mergeCells count="35">
    <mergeCell ref="B11:E11"/>
    <mergeCell ref="B13:E13"/>
    <mergeCell ref="B17:E17"/>
    <mergeCell ref="B18:E18"/>
    <mergeCell ref="I17:J17"/>
    <mergeCell ref="I19:J19"/>
    <mergeCell ref="B12:E12"/>
    <mergeCell ref="B19:E19"/>
    <mergeCell ref="B14:E14"/>
    <mergeCell ref="B15:E15"/>
    <mergeCell ref="B16:E16"/>
    <mergeCell ref="I12:J12"/>
    <mergeCell ref="B26:O31"/>
    <mergeCell ref="B20:E20"/>
    <mergeCell ref="B21:E21"/>
    <mergeCell ref="I23:J23"/>
    <mergeCell ref="I20:J20"/>
    <mergeCell ref="I21:J21"/>
    <mergeCell ref="B22:E22"/>
    <mergeCell ref="B2:G2"/>
    <mergeCell ref="B3:E3"/>
    <mergeCell ref="B4:E4"/>
    <mergeCell ref="I15:J15"/>
    <mergeCell ref="I16:J16"/>
    <mergeCell ref="I9:J9"/>
    <mergeCell ref="I7:J7"/>
    <mergeCell ref="B5:E5"/>
    <mergeCell ref="I2:J2"/>
    <mergeCell ref="I3:M4"/>
    <mergeCell ref="I10:J10"/>
    <mergeCell ref="I11:J11"/>
    <mergeCell ref="I6:J6"/>
    <mergeCell ref="B10:G10"/>
    <mergeCell ref="B6:E6"/>
    <mergeCell ref="I14:J14"/>
  </mergeCells>
  <dataValidations xWindow="338" yWindow="301" count="10">
    <dataValidation errorStyle="warning" allowBlank="1" showInputMessage="1" showErrorMessage="1" error="Units must be kPa" promptTitle="Warning:" prompt="Units must be in 'kPa'" sqref="G6"/>
    <dataValidation errorStyle="warning" allowBlank="1" showInputMessage="1" showErrorMessage="1" promptTitle="Warning:" prompt="Units must be in 'm'" sqref="G11 G18 G20"/>
    <dataValidation allowBlank="1" showInputMessage="1" showErrorMessage="1" promptTitle="Warning:" prompt="Units must be in 'm^2'" sqref="G12"/>
    <dataValidation allowBlank="1" showInputMessage="1" showErrorMessage="1" promptTitle="Warning:" prompt="Units must be in 'm^4'" sqref="G13 G16"/>
    <dataValidation allowBlank="1" showInputMessage="1" showErrorMessage="1" promptTitle="Warning:" prompt="Units must be in 'm^4'" sqref="G14"/>
    <dataValidation allowBlank="1" showInputMessage="1" showErrorMessage="1" promptTitle="Warning:" prompt="Units must be in 'm^6'" sqref="G15"/>
    <dataValidation errorStyle="warning" allowBlank="1" showInputMessage="1" showErrorMessage="1" error="Units must be kPa" promptTitle="Warning:" prompt="Units must be in 'kPa'" sqref="G3"/>
    <dataValidation allowBlank="1" showInputMessage="1" showErrorMessage="1" promptTitle="Warning:" prompt="Units must be in 'kN/m'" sqref="G17"/>
    <dataValidation allowBlank="1" showInputMessage="1" showErrorMessage="1" promptTitle="Warning:" prompt="Units must be in 'radians'" sqref="G19"/>
    <dataValidation allowBlank="1" showInputMessage="1" showErrorMessage="1" promptTitle="Warning:" prompt="Units must be in 'm'" sqref="L2"/>
  </dataValidation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O86"/>
  <sheetViews>
    <sheetView workbookViewId="0">
      <selection activeCell="R6" sqref="R6"/>
    </sheetView>
  </sheetViews>
  <sheetFormatPr defaultRowHeight="15"/>
  <cols>
    <col min="1" max="16384" width="9.140625" style="75"/>
  </cols>
  <sheetData>
    <row r="1" spans="1:15">
      <c r="A1" s="140" t="s">
        <v>124</v>
      </c>
      <c r="B1" s="140"/>
      <c r="C1" s="140"/>
      <c r="D1" s="140"/>
      <c r="E1" s="141"/>
      <c r="F1" s="99"/>
      <c r="G1" s="99"/>
      <c r="H1" s="99"/>
      <c r="I1" s="99"/>
      <c r="J1" s="99"/>
      <c r="K1" s="99"/>
      <c r="L1" s="99"/>
      <c r="M1" s="99"/>
      <c r="N1" s="99"/>
      <c r="O1" s="100"/>
    </row>
    <row r="2" spans="1:15">
      <c r="A2" s="140"/>
      <c r="B2" s="140"/>
      <c r="C2" s="140"/>
      <c r="D2" s="140"/>
      <c r="E2" s="141"/>
      <c r="F2" s="99"/>
      <c r="G2" s="99"/>
      <c r="H2" s="99"/>
      <c r="I2" s="99"/>
      <c r="J2" s="99"/>
      <c r="K2" s="99"/>
      <c r="L2" s="99"/>
      <c r="M2" s="99"/>
      <c r="N2" s="99"/>
      <c r="O2" s="100"/>
    </row>
    <row r="3" spans="1:15">
      <c r="A3" s="140"/>
      <c r="B3" s="140"/>
      <c r="C3" s="140"/>
      <c r="D3" s="140"/>
      <c r="E3" s="141"/>
      <c r="F3" s="99"/>
      <c r="G3" s="99"/>
      <c r="H3" s="99"/>
      <c r="I3" s="99"/>
      <c r="J3" s="99"/>
      <c r="K3" s="99"/>
      <c r="L3" s="99"/>
      <c r="M3" s="99"/>
      <c r="N3" s="99"/>
      <c r="O3" s="100"/>
    </row>
    <row r="4" spans="1:15">
      <c r="A4" s="140"/>
      <c r="B4" s="140"/>
      <c r="C4" s="140"/>
      <c r="D4" s="140"/>
      <c r="E4" s="141"/>
      <c r="F4" s="99"/>
      <c r="G4" s="99"/>
      <c r="H4" s="99"/>
      <c r="I4" s="99"/>
      <c r="J4" s="99"/>
      <c r="K4" s="99"/>
      <c r="L4" s="99"/>
      <c r="M4" s="99"/>
      <c r="N4" s="99"/>
      <c r="O4" s="100"/>
    </row>
    <row r="5" spans="1:15">
      <c r="A5" s="140"/>
      <c r="B5" s="140"/>
      <c r="C5" s="140"/>
      <c r="D5" s="140"/>
      <c r="E5" s="141"/>
      <c r="F5" s="99"/>
      <c r="G5" s="99"/>
      <c r="H5" s="99"/>
      <c r="I5" s="99"/>
      <c r="J5" s="99"/>
      <c r="K5" s="99"/>
      <c r="L5" s="99"/>
      <c r="M5" s="99"/>
      <c r="N5" s="99"/>
      <c r="O5" s="100"/>
    </row>
    <row r="6" spans="1:15">
      <c r="A6" s="140"/>
      <c r="B6" s="140"/>
      <c r="C6" s="140"/>
      <c r="D6" s="140"/>
      <c r="E6" s="141"/>
      <c r="F6" s="99"/>
      <c r="G6" s="99"/>
      <c r="H6" s="99"/>
      <c r="I6" s="99"/>
      <c r="J6" s="99"/>
      <c r="K6" s="99"/>
      <c r="L6" s="99"/>
      <c r="M6" s="99"/>
      <c r="N6" s="99"/>
      <c r="O6" s="100"/>
    </row>
    <row r="7" spans="1:15">
      <c r="A7" s="140"/>
      <c r="B7" s="140"/>
      <c r="C7" s="140"/>
      <c r="D7" s="140"/>
      <c r="E7" s="141"/>
      <c r="F7" s="99"/>
      <c r="G7" s="99"/>
      <c r="H7" s="99"/>
      <c r="I7" s="99"/>
      <c r="J7" s="99"/>
      <c r="K7" s="99"/>
      <c r="L7" s="99"/>
      <c r="M7" s="99"/>
      <c r="N7" s="99"/>
      <c r="O7" s="100"/>
    </row>
    <row r="8" spans="1:15">
      <c r="A8" s="140"/>
      <c r="B8" s="140"/>
      <c r="C8" s="140"/>
      <c r="D8" s="140"/>
      <c r="E8" s="141"/>
      <c r="F8" s="99"/>
      <c r="G8" s="99"/>
      <c r="H8" s="99"/>
      <c r="I8" s="99"/>
      <c r="J8" s="99"/>
      <c r="K8" s="99"/>
      <c r="L8" s="99"/>
      <c r="M8" s="99"/>
      <c r="N8" s="99"/>
      <c r="O8" s="100"/>
    </row>
    <row r="9" spans="1:15">
      <c r="A9" s="140"/>
      <c r="B9" s="140"/>
      <c r="C9" s="140"/>
      <c r="D9" s="140"/>
      <c r="E9" s="141"/>
      <c r="F9" s="99"/>
      <c r="G9" s="99"/>
      <c r="H9" s="99"/>
      <c r="I9" s="99"/>
      <c r="J9" s="99"/>
      <c r="K9" s="99"/>
      <c r="L9" s="99"/>
      <c r="M9" s="99"/>
      <c r="N9" s="99"/>
      <c r="O9" s="100"/>
    </row>
    <row r="10" spans="1:15">
      <c r="A10" s="140"/>
      <c r="B10" s="140"/>
      <c r="C10" s="140"/>
      <c r="D10" s="140"/>
      <c r="E10" s="141"/>
      <c r="F10" s="99"/>
      <c r="G10" s="99"/>
      <c r="H10" s="99"/>
      <c r="I10" s="99"/>
      <c r="J10" s="99"/>
      <c r="K10" s="99"/>
      <c r="L10" s="99"/>
      <c r="M10" s="99"/>
      <c r="N10" s="99"/>
      <c r="O10" s="100"/>
    </row>
    <row r="11" spans="1:15">
      <c r="A11" s="140"/>
      <c r="B11" s="140"/>
      <c r="C11" s="140"/>
      <c r="D11" s="140"/>
      <c r="E11" s="141"/>
      <c r="F11" s="99"/>
      <c r="G11" s="99"/>
      <c r="H11" s="99"/>
      <c r="I11" s="99"/>
      <c r="J11" s="99"/>
      <c r="K11" s="99"/>
      <c r="L11" s="99"/>
      <c r="M11" s="99"/>
      <c r="N11" s="99"/>
      <c r="O11" s="100"/>
    </row>
    <row r="12" spans="1:15">
      <c r="A12" s="140"/>
      <c r="B12" s="140"/>
      <c r="C12" s="140"/>
      <c r="D12" s="140"/>
      <c r="E12" s="141"/>
      <c r="F12" s="99"/>
      <c r="G12" s="99"/>
      <c r="H12" s="99"/>
      <c r="I12" s="99"/>
      <c r="J12" s="99"/>
      <c r="K12" s="99"/>
      <c r="L12" s="99"/>
      <c r="M12" s="99"/>
      <c r="N12" s="99"/>
      <c r="O12" s="100"/>
    </row>
    <row r="13" spans="1:15">
      <c r="A13" s="140"/>
      <c r="B13" s="140"/>
      <c r="C13" s="140"/>
      <c r="D13" s="140"/>
      <c r="E13" s="141"/>
      <c r="F13" s="99"/>
      <c r="G13" s="99"/>
      <c r="H13" s="99"/>
      <c r="I13" s="99"/>
      <c r="J13" s="99"/>
      <c r="K13" s="99"/>
      <c r="L13" s="99"/>
      <c r="M13" s="99"/>
      <c r="N13" s="99"/>
      <c r="O13" s="100"/>
    </row>
    <row r="14" spans="1:15">
      <c r="A14" s="140"/>
      <c r="B14" s="140"/>
      <c r="C14" s="140"/>
      <c r="D14" s="140"/>
      <c r="E14" s="141"/>
      <c r="F14" s="99"/>
      <c r="G14" s="99"/>
      <c r="H14" s="99"/>
      <c r="I14" s="99"/>
      <c r="J14" s="99"/>
      <c r="K14" s="99"/>
      <c r="L14" s="99"/>
      <c r="M14" s="99"/>
      <c r="N14" s="99"/>
      <c r="O14" s="100"/>
    </row>
    <row r="15" spans="1:15">
      <c r="A15" s="142"/>
      <c r="B15" s="142"/>
      <c r="C15" s="142"/>
      <c r="D15" s="142"/>
      <c r="E15" s="143"/>
      <c r="F15" s="101"/>
      <c r="G15" s="101"/>
      <c r="H15" s="101"/>
      <c r="I15" s="101"/>
      <c r="J15" s="101"/>
      <c r="K15" s="101"/>
      <c r="L15" s="101"/>
      <c r="M15" s="101"/>
      <c r="N15" s="101"/>
      <c r="O15" s="102"/>
    </row>
    <row r="16" spans="1:15">
      <c r="A16" s="144" t="s">
        <v>120</v>
      </c>
      <c r="B16" s="144"/>
      <c r="C16" s="144"/>
      <c r="D16" s="144"/>
      <c r="E16" s="145"/>
      <c r="F16" s="103"/>
      <c r="G16" s="104"/>
      <c r="H16" s="104"/>
      <c r="I16" s="104"/>
      <c r="J16" s="104"/>
      <c r="K16" s="104"/>
      <c r="L16" s="104"/>
      <c r="M16" s="104"/>
      <c r="N16" s="104"/>
      <c r="O16" s="105"/>
    </row>
    <row r="17" spans="1:15">
      <c r="A17" s="140"/>
      <c r="B17" s="140"/>
      <c r="C17" s="140"/>
      <c r="D17" s="140"/>
      <c r="E17" s="141"/>
      <c r="F17" s="106"/>
      <c r="G17" s="99"/>
      <c r="H17" s="99"/>
      <c r="I17" s="99"/>
      <c r="J17" s="99"/>
      <c r="K17" s="99"/>
      <c r="L17" s="99"/>
      <c r="M17" s="99"/>
      <c r="N17" s="99"/>
      <c r="O17" s="100"/>
    </row>
    <row r="18" spans="1:15">
      <c r="A18" s="140"/>
      <c r="B18" s="140"/>
      <c r="C18" s="140"/>
      <c r="D18" s="140"/>
      <c r="E18" s="141"/>
      <c r="F18" s="106"/>
      <c r="G18" s="99"/>
      <c r="H18" s="99"/>
      <c r="I18" s="99"/>
      <c r="J18" s="99"/>
      <c r="K18" s="99"/>
      <c r="L18" s="99"/>
      <c r="M18" s="99"/>
      <c r="N18" s="99"/>
      <c r="O18" s="100"/>
    </row>
    <row r="19" spans="1:15">
      <c r="A19" s="140"/>
      <c r="B19" s="140"/>
      <c r="C19" s="140"/>
      <c r="D19" s="140"/>
      <c r="E19" s="141"/>
      <c r="F19" s="106"/>
      <c r="G19" s="99"/>
      <c r="H19" s="99"/>
      <c r="I19" s="99"/>
      <c r="J19" s="99"/>
      <c r="K19" s="99"/>
      <c r="L19" s="99"/>
      <c r="M19" s="99"/>
      <c r="N19" s="99"/>
      <c r="O19" s="100"/>
    </row>
    <row r="20" spans="1:15">
      <c r="A20" s="140"/>
      <c r="B20" s="140"/>
      <c r="C20" s="140"/>
      <c r="D20" s="140"/>
      <c r="E20" s="141"/>
      <c r="F20" s="106"/>
      <c r="G20" s="99"/>
      <c r="H20" s="99"/>
      <c r="I20" s="99"/>
      <c r="J20" s="99"/>
      <c r="K20" s="99"/>
      <c r="L20" s="99"/>
      <c r="M20" s="99"/>
      <c r="N20" s="99"/>
      <c r="O20" s="100"/>
    </row>
    <row r="21" spans="1:15">
      <c r="A21" s="140"/>
      <c r="B21" s="140"/>
      <c r="C21" s="140"/>
      <c r="D21" s="140"/>
      <c r="E21" s="141"/>
      <c r="F21" s="106"/>
      <c r="G21" s="99"/>
      <c r="H21" s="99"/>
      <c r="I21" s="99"/>
      <c r="J21" s="99"/>
      <c r="K21" s="99"/>
      <c r="L21" s="99"/>
      <c r="M21" s="99"/>
      <c r="N21" s="99"/>
      <c r="O21" s="100"/>
    </row>
    <row r="22" spans="1:15">
      <c r="A22" s="140"/>
      <c r="B22" s="140"/>
      <c r="C22" s="140"/>
      <c r="D22" s="140"/>
      <c r="E22" s="141"/>
      <c r="F22" s="106"/>
      <c r="G22" s="99"/>
      <c r="H22" s="99"/>
      <c r="I22" s="99"/>
      <c r="J22" s="99"/>
      <c r="K22" s="99"/>
      <c r="L22" s="99"/>
      <c r="M22" s="99"/>
      <c r="N22" s="99"/>
      <c r="O22" s="100"/>
    </row>
    <row r="23" spans="1:15">
      <c r="A23" s="140"/>
      <c r="B23" s="140"/>
      <c r="C23" s="140"/>
      <c r="D23" s="140"/>
      <c r="E23" s="141"/>
      <c r="F23" s="106"/>
      <c r="G23" s="99"/>
      <c r="H23" s="99"/>
      <c r="I23" s="99"/>
      <c r="J23" s="99"/>
      <c r="K23" s="99"/>
      <c r="L23" s="99"/>
      <c r="M23" s="99"/>
      <c r="N23" s="99"/>
      <c r="O23" s="100"/>
    </row>
    <row r="24" spans="1:15">
      <c r="A24" s="140"/>
      <c r="B24" s="140"/>
      <c r="C24" s="140"/>
      <c r="D24" s="140"/>
      <c r="E24" s="141"/>
      <c r="F24" s="106"/>
      <c r="G24" s="99"/>
      <c r="H24" s="99"/>
      <c r="I24" s="99"/>
      <c r="J24" s="99"/>
      <c r="K24" s="99"/>
      <c r="L24" s="99"/>
      <c r="M24" s="99"/>
      <c r="N24" s="99"/>
      <c r="O24" s="100"/>
    </row>
    <row r="25" spans="1:15">
      <c r="A25" s="140"/>
      <c r="B25" s="140"/>
      <c r="C25" s="140"/>
      <c r="D25" s="140"/>
      <c r="E25" s="141"/>
      <c r="F25" s="106"/>
      <c r="G25" s="99"/>
      <c r="H25" s="99"/>
      <c r="I25" s="99"/>
      <c r="J25" s="99"/>
      <c r="K25" s="99"/>
      <c r="L25" s="99"/>
      <c r="M25" s="99"/>
      <c r="N25" s="99"/>
      <c r="O25" s="100"/>
    </row>
    <row r="26" spans="1:15">
      <c r="A26" s="140"/>
      <c r="B26" s="140"/>
      <c r="C26" s="140"/>
      <c r="D26" s="140"/>
      <c r="E26" s="141"/>
      <c r="F26" s="106"/>
      <c r="G26" s="99"/>
      <c r="H26" s="99"/>
      <c r="I26" s="99"/>
      <c r="J26" s="99"/>
      <c r="K26" s="99"/>
      <c r="L26" s="99"/>
      <c r="M26" s="99"/>
      <c r="N26" s="99"/>
      <c r="O26" s="100"/>
    </row>
    <row r="27" spans="1:15">
      <c r="A27" s="140"/>
      <c r="B27" s="140"/>
      <c r="C27" s="140"/>
      <c r="D27" s="140"/>
      <c r="E27" s="141"/>
      <c r="F27" s="106"/>
      <c r="G27" s="99"/>
      <c r="H27" s="99"/>
      <c r="I27" s="99"/>
      <c r="J27" s="99"/>
      <c r="K27" s="99"/>
      <c r="L27" s="99"/>
      <c r="M27" s="99"/>
      <c r="N27" s="99"/>
      <c r="O27" s="100"/>
    </row>
    <row r="28" spans="1:15">
      <c r="A28" s="140"/>
      <c r="B28" s="140"/>
      <c r="C28" s="140"/>
      <c r="D28" s="140"/>
      <c r="E28" s="141"/>
      <c r="F28" s="106"/>
      <c r="G28" s="99"/>
      <c r="H28" s="99"/>
      <c r="I28" s="99"/>
      <c r="J28" s="99"/>
      <c r="K28" s="99"/>
      <c r="L28" s="99"/>
      <c r="M28" s="99"/>
      <c r="N28" s="99"/>
      <c r="O28" s="100"/>
    </row>
    <row r="29" spans="1:15">
      <c r="A29" s="140"/>
      <c r="B29" s="140"/>
      <c r="C29" s="140"/>
      <c r="D29" s="140"/>
      <c r="E29" s="141"/>
      <c r="F29" s="106"/>
      <c r="G29" s="99"/>
      <c r="H29" s="99"/>
      <c r="I29" s="99"/>
      <c r="J29" s="99"/>
      <c r="K29" s="99"/>
      <c r="L29" s="99"/>
      <c r="M29" s="99"/>
      <c r="N29" s="99"/>
      <c r="O29" s="100"/>
    </row>
    <row r="30" spans="1:15">
      <c r="A30" s="142"/>
      <c r="B30" s="142"/>
      <c r="C30" s="142"/>
      <c r="D30" s="142"/>
      <c r="E30" s="143"/>
      <c r="F30" s="107"/>
      <c r="G30" s="101"/>
      <c r="H30" s="101"/>
      <c r="I30" s="101"/>
      <c r="J30" s="101"/>
      <c r="K30" s="101"/>
      <c r="L30" s="101"/>
      <c r="M30" s="101"/>
      <c r="N30" s="101"/>
      <c r="O30" s="102"/>
    </row>
    <row r="31" spans="1:15" ht="15" customHeight="1">
      <c r="A31" s="144" t="s">
        <v>121</v>
      </c>
      <c r="B31" s="144"/>
      <c r="C31" s="144"/>
      <c r="D31" s="144"/>
      <c r="E31" s="145"/>
      <c r="F31" s="104"/>
      <c r="G31" s="104"/>
      <c r="H31" s="104"/>
      <c r="I31" s="104"/>
      <c r="J31" s="104"/>
      <c r="K31" s="104"/>
      <c r="L31" s="104"/>
      <c r="M31" s="104"/>
      <c r="N31" s="104"/>
      <c r="O31" s="105"/>
    </row>
    <row r="32" spans="1:15" ht="15" customHeight="1">
      <c r="A32" s="140"/>
      <c r="B32" s="140"/>
      <c r="C32" s="140"/>
      <c r="D32" s="140"/>
      <c r="E32" s="141"/>
      <c r="F32" s="99"/>
      <c r="G32" s="99"/>
      <c r="H32" s="99"/>
      <c r="I32" s="99"/>
      <c r="J32" s="99"/>
      <c r="K32" s="99"/>
      <c r="L32" s="99"/>
      <c r="M32" s="99"/>
      <c r="N32" s="99"/>
      <c r="O32" s="100"/>
    </row>
    <row r="33" spans="1:15" ht="15" customHeight="1">
      <c r="A33" s="140"/>
      <c r="B33" s="140"/>
      <c r="C33" s="140"/>
      <c r="D33" s="140"/>
      <c r="E33" s="141"/>
      <c r="F33" s="99"/>
      <c r="G33" s="99"/>
      <c r="H33" s="99"/>
      <c r="I33" s="99"/>
      <c r="J33" s="99"/>
      <c r="K33" s="99"/>
      <c r="L33" s="99"/>
      <c r="M33" s="99"/>
      <c r="N33" s="99"/>
      <c r="O33" s="100"/>
    </row>
    <row r="34" spans="1:15" ht="15" customHeight="1">
      <c r="A34" s="140"/>
      <c r="B34" s="140"/>
      <c r="C34" s="140"/>
      <c r="D34" s="140"/>
      <c r="E34" s="141"/>
      <c r="F34" s="99"/>
      <c r="G34" s="99"/>
      <c r="H34" s="99"/>
      <c r="I34" s="99"/>
      <c r="J34" s="99"/>
      <c r="K34" s="99"/>
      <c r="L34" s="99"/>
      <c r="M34" s="99"/>
      <c r="N34" s="99"/>
      <c r="O34" s="100"/>
    </row>
    <row r="35" spans="1:15" ht="15" customHeight="1">
      <c r="A35" s="140"/>
      <c r="B35" s="140"/>
      <c r="C35" s="140"/>
      <c r="D35" s="140"/>
      <c r="E35" s="141"/>
      <c r="F35" s="99"/>
      <c r="G35" s="99"/>
      <c r="H35" s="99"/>
      <c r="I35" s="99"/>
      <c r="J35" s="99"/>
      <c r="K35" s="99"/>
      <c r="L35" s="99"/>
      <c r="M35" s="99"/>
      <c r="N35" s="99"/>
      <c r="O35" s="100"/>
    </row>
    <row r="36" spans="1:15" ht="15" customHeight="1">
      <c r="A36" s="140"/>
      <c r="B36" s="140"/>
      <c r="C36" s="140"/>
      <c r="D36" s="140"/>
      <c r="E36" s="141"/>
      <c r="F36" s="99"/>
      <c r="G36" s="99"/>
      <c r="H36" s="99"/>
      <c r="I36" s="99"/>
      <c r="J36" s="99"/>
      <c r="K36" s="99"/>
      <c r="L36" s="99"/>
      <c r="M36" s="99"/>
      <c r="N36" s="99"/>
      <c r="O36" s="100"/>
    </row>
    <row r="37" spans="1:15" ht="15" customHeight="1">
      <c r="A37" s="140"/>
      <c r="B37" s="140"/>
      <c r="C37" s="140"/>
      <c r="D37" s="140"/>
      <c r="E37" s="141"/>
      <c r="F37" s="99"/>
      <c r="G37" s="99"/>
      <c r="H37" s="99"/>
      <c r="I37" s="99"/>
      <c r="J37" s="99"/>
      <c r="K37" s="99"/>
      <c r="L37" s="99"/>
      <c r="M37" s="99"/>
      <c r="N37" s="99"/>
      <c r="O37" s="100"/>
    </row>
    <row r="38" spans="1:15" ht="15" customHeight="1">
      <c r="A38" s="140"/>
      <c r="B38" s="140"/>
      <c r="C38" s="140"/>
      <c r="D38" s="140"/>
      <c r="E38" s="141"/>
      <c r="F38" s="99"/>
      <c r="G38" s="99"/>
      <c r="H38" s="99"/>
      <c r="I38" s="99"/>
      <c r="J38" s="99"/>
      <c r="K38" s="99"/>
      <c r="L38" s="99"/>
      <c r="M38" s="99"/>
      <c r="N38" s="99"/>
      <c r="O38" s="100"/>
    </row>
    <row r="39" spans="1:15" ht="15" customHeight="1">
      <c r="A39" s="140"/>
      <c r="B39" s="140"/>
      <c r="C39" s="140"/>
      <c r="D39" s="140"/>
      <c r="E39" s="141"/>
      <c r="F39" s="99"/>
      <c r="G39" s="99"/>
      <c r="H39" s="99"/>
      <c r="I39" s="99"/>
      <c r="J39" s="99"/>
      <c r="K39" s="99"/>
      <c r="L39" s="99"/>
      <c r="M39" s="99"/>
      <c r="N39" s="99"/>
      <c r="O39" s="100"/>
    </row>
    <row r="40" spans="1:15" ht="15" customHeight="1">
      <c r="A40" s="140"/>
      <c r="B40" s="140"/>
      <c r="C40" s="140"/>
      <c r="D40" s="140"/>
      <c r="E40" s="141"/>
      <c r="F40" s="99"/>
      <c r="G40" s="99"/>
      <c r="H40" s="99"/>
      <c r="I40" s="99"/>
      <c r="J40" s="99"/>
      <c r="K40" s="99"/>
      <c r="L40" s="99"/>
      <c r="M40" s="99"/>
      <c r="N40" s="99"/>
      <c r="O40" s="100"/>
    </row>
    <row r="41" spans="1:15" ht="15" customHeight="1">
      <c r="A41" s="140"/>
      <c r="B41" s="140"/>
      <c r="C41" s="140"/>
      <c r="D41" s="140"/>
      <c r="E41" s="141"/>
      <c r="F41" s="99"/>
      <c r="G41" s="99"/>
      <c r="H41" s="99"/>
      <c r="I41" s="99"/>
      <c r="J41" s="99"/>
      <c r="K41" s="99"/>
      <c r="L41" s="99"/>
      <c r="M41" s="99"/>
      <c r="N41" s="99"/>
      <c r="O41" s="100"/>
    </row>
    <row r="42" spans="1:15" ht="15" customHeight="1">
      <c r="A42" s="140"/>
      <c r="B42" s="140"/>
      <c r="C42" s="140"/>
      <c r="D42" s="140"/>
      <c r="E42" s="141"/>
      <c r="F42" s="99"/>
      <c r="G42" s="99"/>
      <c r="H42" s="99"/>
      <c r="I42" s="99"/>
      <c r="J42" s="99"/>
      <c r="K42" s="99"/>
      <c r="L42" s="99"/>
      <c r="M42" s="99"/>
      <c r="N42" s="99"/>
      <c r="O42" s="100"/>
    </row>
    <row r="43" spans="1:15" ht="15" customHeight="1">
      <c r="A43" s="140"/>
      <c r="B43" s="140"/>
      <c r="C43" s="140"/>
      <c r="D43" s="140"/>
      <c r="E43" s="141"/>
      <c r="F43" s="99"/>
      <c r="G43" s="99"/>
      <c r="H43" s="99"/>
      <c r="I43" s="99"/>
      <c r="J43" s="99"/>
      <c r="K43" s="99"/>
      <c r="L43" s="99"/>
      <c r="M43" s="99"/>
      <c r="N43" s="99"/>
      <c r="O43" s="100"/>
    </row>
    <row r="44" spans="1:15" ht="15" customHeight="1">
      <c r="A44" s="140"/>
      <c r="B44" s="140"/>
      <c r="C44" s="140"/>
      <c r="D44" s="140"/>
      <c r="E44" s="141"/>
      <c r="F44" s="99"/>
      <c r="G44" s="99"/>
      <c r="H44" s="99"/>
      <c r="I44" s="99"/>
      <c r="J44" s="99"/>
      <c r="K44" s="99"/>
      <c r="L44" s="99"/>
      <c r="M44" s="99"/>
      <c r="N44" s="99"/>
      <c r="O44" s="100"/>
    </row>
    <row r="45" spans="1:15" ht="15" customHeight="1">
      <c r="A45" s="140"/>
      <c r="B45" s="140"/>
      <c r="C45" s="140"/>
      <c r="D45" s="140"/>
      <c r="E45" s="141"/>
      <c r="F45" s="99"/>
      <c r="G45" s="99"/>
      <c r="H45" s="99"/>
      <c r="I45" s="99"/>
      <c r="J45" s="99"/>
      <c r="K45" s="99"/>
      <c r="L45" s="99"/>
      <c r="M45" s="99"/>
      <c r="N45" s="99"/>
      <c r="O45" s="100"/>
    </row>
    <row r="46" spans="1:15">
      <c r="A46" s="140"/>
      <c r="B46" s="140"/>
      <c r="C46" s="140"/>
      <c r="D46" s="140"/>
      <c r="E46" s="141"/>
      <c r="F46" s="99"/>
      <c r="G46" s="99"/>
      <c r="H46" s="99"/>
      <c r="I46" s="99"/>
      <c r="J46" s="99"/>
      <c r="K46" s="99"/>
      <c r="L46" s="99"/>
      <c r="M46" s="99"/>
      <c r="N46" s="99"/>
      <c r="O46" s="100"/>
    </row>
    <row r="47" spans="1:15">
      <c r="A47" s="140"/>
      <c r="B47" s="140"/>
      <c r="C47" s="140"/>
      <c r="D47" s="140"/>
      <c r="E47" s="141"/>
      <c r="F47" s="99"/>
      <c r="G47" s="99"/>
      <c r="H47" s="99"/>
      <c r="I47" s="99"/>
      <c r="J47" s="99"/>
      <c r="K47" s="99"/>
      <c r="L47" s="99"/>
      <c r="M47" s="99"/>
      <c r="N47" s="99"/>
      <c r="O47" s="100"/>
    </row>
    <row r="48" spans="1:15">
      <c r="A48" s="140"/>
      <c r="B48" s="140"/>
      <c r="C48" s="140"/>
      <c r="D48" s="140"/>
      <c r="E48" s="141"/>
      <c r="F48" s="99"/>
      <c r="G48" s="99"/>
      <c r="H48" s="99"/>
      <c r="I48" s="99"/>
      <c r="J48" s="99"/>
      <c r="K48" s="99"/>
      <c r="L48" s="99"/>
      <c r="M48" s="99"/>
      <c r="N48" s="99"/>
      <c r="O48" s="100"/>
    </row>
    <row r="49" spans="1:15">
      <c r="A49" s="140"/>
      <c r="B49" s="140"/>
      <c r="C49" s="140"/>
      <c r="D49" s="140"/>
      <c r="E49" s="141"/>
      <c r="F49" s="99"/>
      <c r="G49" s="99"/>
      <c r="H49" s="99"/>
      <c r="I49" s="99"/>
      <c r="J49" s="99"/>
      <c r="K49" s="99"/>
      <c r="L49" s="99"/>
      <c r="M49" s="99"/>
      <c r="N49" s="99"/>
      <c r="O49" s="100"/>
    </row>
    <row r="50" spans="1:15">
      <c r="A50" s="142"/>
      <c r="B50" s="142"/>
      <c r="C50" s="142"/>
      <c r="D50" s="142"/>
      <c r="E50" s="143"/>
      <c r="F50" s="101"/>
      <c r="G50" s="101"/>
      <c r="H50" s="101"/>
      <c r="I50" s="101"/>
      <c r="J50" s="101"/>
      <c r="K50" s="101"/>
      <c r="L50" s="101"/>
      <c r="M50" s="101"/>
      <c r="N50" s="101"/>
      <c r="O50" s="102"/>
    </row>
    <row r="51" spans="1:15">
      <c r="A51" s="144" t="s">
        <v>122</v>
      </c>
      <c r="B51" s="144"/>
      <c r="C51" s="144"/>
      <c r="D51" s="144"/>
      <c r="E51" s="145"/>
      <c r="F51" s="104"/>
      <c r="G51" s="104"/>
      <c r="H51" s="104"/>
      <c r="I51" s="104"/>
      <c r="J51" s="104"/>
      <c r="K51" s="104"/>
      <c r="L51" s="104"/>
      <c r="M51" s="104"/>
      <c r="N51" s="104"/>
      <c r="O51" s="105"/>
    </row>
    <row r="52" spans="1:15">
      <c r="A52" s="140"/>
      <c r="B52" s="140"/>
      <c r="C52" s="140"/>
      <c r="D52" s="140"/>
      <c r="E52" s="141"/>
      <c r="F52" s="99"/>
      <c r="G52" s="99"/>
      <c r="H52" s="99"/>
      <c r="I52" s="99"/>
      <c r="J52" s="99"/>
      <c r="K52" s="99"/>
      <c r="L52" s="99"/>
      <c r="M52" s="99"/>
      <c r="N52" s="99"/>
      <c r="O52" s="100"/>
    </row>
    <row r="53" spans="1:15">
      <c r="A53" s="140"/>
      <c r="B53" s="140"/>
      <c r="C53" s="140"/>
      <c r="D53" s="140"/>
      <c r="E53" s="141"/>
      <c r="F53" s="99"/>
      <c r="G53" s="99"/>
      <c r="H53" s="99"/>
      <c r="I53" s="99"/>
      <c r="J53" s="99"/>
      <c r="K53" s="99"/>
      <c r="L53" s="99"/>
      <c r="M53" s="99"/>
      <c r="N53" s="99"/>
      <c r="O53" s="100"/>
    </row>
    <row r="54" spans="1:15">
      <c r="A54" s="140"/>
      <c r="B54" s="140"/>
      <c r="C54" s="140"/>
      <c r="D54" s="140"/>
      <c r="E54" s="141"/>
      <c r="F54" s="99"/>
      <c r="G54" s="99"/>
      <c r="H54" s="99"/>
      <c r="I54" s="99"/>
      <c r="J54" s="99"/>
      <c r="K54" s="99"/>
      <c r="L54" s="99"/>
      <c r="M54" s="99"/>
      <c r="N54" s="99"/>
      <c r="O54" s="100"/>
    </row>
    <row r="55" spans="1:15">
      <c r="A55" s="140"/>
      <c r="B55" s="140"/>
      <c r="C55" s="140"/>
      <c r="D55" s="140"/>
      <c r="E55" s="141"/>
      <c r="F55" s="99"/>
      <c r="G55" s="99"/>
      <c r="H55" s="99"/>
      <c r="I55" s="99"/>
      <c r="J55" s="99"/>
      <c r="K55" s="99"/>
      <c r="L55" s="99"/>
      <c r="M55" s="99"/>
      <c r="N55" s="99"/>
      <c r="O55" s="100"/>
    </row>
    <row r="56" spans="1:15">
      <c r="A56" s="140"/>
      <c r="B56" s="140"/>
      <c r="C56" s="140"/>
      <c r="D56" s="140"/>
      <c r="E56" s="141"/>
      <c r="F56" s="99"/>
      <c r="G56" s="99"/>
      <c r="H56" s="99"/>
      <c r="I56" s="99"/>
      <c r="J56" s="99"/>
      <c r="K56" s="99"/>
      <c r="L56" s="99"/>
      <c r="M56" s="99"/>
      <c r="N56" s="99"/>
      <c r="O56" s="100"/>
    </row>
    <row r="57" spans="1:15">
      <c r="A57" s="140"/>
      <c r="B57" s="140"/>
      <c r="C57" s="140"/>
      <c r="D57" s="140"/>
      <c r="E57" s="141"/>
      <c r="F57" s="99"/>
      <c r="G57" s="99"/>
      <c r="H57" s="99"/>
      <c r="I57" s="99"/>
      <c r="J57" s="99"/>
      <c r="K57" s="99"/>
      <c r="L57" s="99"/>
      <c r="M57" s="99"/>
      <c r="N57" s="99"/>
      <c r="O57" s="100"/>
    </row>
    <row r="58" spans="1:15">
      <c r="A58" s="140"/>
      <c r="B58" s="140"/>
      <c r="C58" s="140"/>
      <c r="D58" s="140"/>
      <c r="E58" s="141"/>
      <c r="F58" s="99"/>
      <c r="G58" s="99"/>
      <c r="H58" s="99"/>
      <c r="I58" s="99"/>
      <c r="J58" s="99"/>
      <c r="K58" s="99"/>
      <c r="L58" s="99"/>
      <c r="M58" s="99"/>
      <c r="N58" s="99"/>
      <c r="O58" s="100"/>
    </row>
    <row r="59" spans="1:15">
      <c r="A59" s="140"/>
      <c r="B59" s="140"/>
      <c r="C59" s="140"/>
      <c r="D59" s="140"/>
      <c r="E59" s="141"/>
      <c r="F59" s="99"/>
      <c r="G59" s="99"/>
      <c r="H59" s="99"/>
      <c r="I59" s="99"/>
      <c r="J59" s="99"/>
      <c r="K59" s="99"/>
      <c r="L59" s="99"/>
      <c r="M59" s="99"/>
      <c r="N59" s="99"/>
      <c r="O59" s="100"/>
    </row>
    <row r="60" spans="1:15">
      <c r="A60" s="140"/>
      <c r="B60" s="140"/>
      <c r="C60" s="140"/>
      <c r="D60" s="140"/>
      <c r="E60" s="141"/>
      <c r="F60" s="99"/>
      <c r="G60" s="99"/>
      <c r="H60" s="99"/>
      <c r="I60" s="99"/>
      <c r="J60" s="99"/>
      <c r="K60" s="99"/>
      <c r="L60" s="99"/>
      <c r="M60" s="99"/>
      <c r="N60" s="99"/>
      <c r="O60" s="100"/>
    </row>
    <row r="61" spans="1:15">
      <c r="A61" s="140"/>
      <c r="B61" s="140"/>
      <c r="C61" s="140"/>
      <c r="D61" s="140"/>
      <c r="E61" s="141"/>
      <c r="F61" s="99"/>
      <c r="G61" s="99"/>
      <c r="H61" s="99"/>
      <c r="I61" s="99"/>
      <c r="J61" s="99"/>
      <c r="K61" s="99"/>
      <c r="L61" s="99"/>
      <c r="M61" s="99"/>
      <c r="N61" s="99"/>
      <c r="O61" s="100"/>
    </row>
    <row r="62" spans="1:15">
      <c r="A62" s="140"/>
      <c r="B62" s="140"/>
      <c r="C62" s="140"/>
      <c r="D62" s="140"/>
      <c r="E62" s="141"/>
      <c r="F62" s="99"/>
      <c r="G62" s="99"/>
      <c r="H62" s="99"/>
      <c r="I62" s="99"/>
      <c r="J62" s="99"/>
      <c r="K62" s="99"/>
      <c r="L62" s="99"/>
      <c r="M62" s="99"/>
      <c r="N62" s="99"/>
      <c r="O62" s="100"/>
    </row>
    <row r="63" spans="1:15">
      <c r="A63" s="140"/>
      <c r="B63" s="140"/>
      <c r="C63" s="140"/>
      <c r="D63" s="140"/>
      <c r="E63" s="141"/>
      <c r="F63" s="99"/>
      <c r="G63" s="99"/>
      <c r="H63" s="99"/>
      <c r="I63" s="99"/>
      <c r="J63" s="99"/>
      <c r="K63" s="99"/>
      <c r="L63" s="99"/>
      <c r="M63" s="99"/>
      <c r="N63" s="99"/>
      <c r="O63" s="100"/>
    </row>
    <row r="64" spans="1:15">
      <c r="A64" s="140"/>
      <c r="B64" s="140"/>
      <c r="C64" s="140"/>
      <c r="D64" s="140"/>
      <c r="E64" s="141"/>
      <c r="F64" s="99"/>
      <c r="G64" s="99"/>
      <c r="H64" s="99"/>
      <c r="I64" s="99"/>
      <c r="J64" s="99"/>
      <c r="K64" s="99"/>
      <c r="L64" s="99"/>
      <c r="M64" s="99"/>
      <c r="N64" s="99"/>
      <c r="O64" s="100"/>
    </row>
    <row r="65" spans="1:15">
      <c r="A65" s="142"/>
      <c r="B65" s="142"/>
      <c r="C65" s="142"/>
      <c r="D65" s="142"/>
      <c r="E65" s="143"/>
      <c r="F65" s="101"/>
      <c r="G65" s="101"/>
      <c r="H65" s="101"/>
      <c r="I65" s="101"/>
      <c r="J65" s="101"/>
      <c r="K65" s="101"/>
      <c r="L65" s="101"/>
      <c r="M65" s="101"/>
      <c r="N65" s="101"/>
      <c r="O65" s="102"/>
    </row>
    <row r="66" spans="1:15">
      <c r="A66" s="144" t="s">
        <v>123</v>
      </c>
      <c r="B66" s="144"/>
      <c r="C66" s="144"/>
      <c r="D66" s="144"/>
      <c r="E66" s="145"/>
      <c r="F66" s="104"/>
      <c r="G66" s="104"/>
      <c r="H66" s="104"/>
      <c r="I66" s="104"/>
      <c r="J66" s="104"/>
      <c r="K66" s="104"/>
      <c r="L66" s="104"/>
      <c r="M66" s="104"/>
      <c r="N66" s="104"/>
      <c r="O66" s="105"/>
    </row>
    <row r="67" spans="1:15">
      <c r="A67" s="140"/>
      <c r="B67" s="140"/>
      <c r="C67" s="140"/>
      <c r="D67" s="140"/>
      <c r="E67" s="141"/>
      <c r="F67" s="99"/>
      <c r="G67" s="99"/>
      <c r="H67" s="99"/>
      <c r="I67" s="99"/>
      <c r="J67" s="99"/>
      <c r="K67" s="99"/>
      <c r="L67" s="99"/>
      <c r="M67" s="99"/>
      <c r="N67" s="99"/>
      <c r="O67" s="100"/>
    </row>
    <row r="68" spans="1:15">
      <c r="A68" s="140"/>
      <c r="B68" s="140"/>
      <c r="C68" s="140"/>
      <c r="D68" s="140"/>
      <c r="E68" s="141"/>
      <c r="F68" s="99"/>
      <c r="G68" s="99"/>
      <c r="H68" s="99"/>
      <c r="I68" s="99"/>
      <c r="J68" s="99"/>
      <c r="K68" s="99"/>
      <c r="L68" s="99"/>
      <c r="M68" s="99"/>
      <c r="N68" s="99"/>
      <c r="O68" s="100"/>
    </row>
    <row r="69" spans="1:15">
      <c r="A69" s="140"/>
      <c r="B69" s="140"/>
      <c r="C69" s="140"/>
      <c r="D69" s="140"/>
      <c r="E69" s="141"/>
      <c r="F69" s="99"/>
      <c r="G69" s="99"/>
      <c r="H69" s="99"/>
      <c r="I69" s="99"/>
      <c r="J69" s="99"/>
      <c r="K69" s="99"/>
      <c r="L69" s="99"/>
      <c r="M69" s="99"/>
      <c r="N69" s="99"/>
      <c r="O69" s="100"/>
    </row>
    <row r="70" spans="1:15">
      <c r="A70" s="140"/>
      <c r="B70" s="140"/>
      <c r="C70" s="140"/>
      <c r="D70" s="140"/>
      <c r="E70" s="141"/>
      <c r="F70" s="99"/>
      <c r="G70" s="99"/>
      <c r="H70" s="99"/>
      <c r="I70" s="99"/>
      <c r="J70" s="99"/>
      <c r="K70" s="99"/>
      <c r="L70" s="99"/>
      <c r="M70" s="99"/>
      <c r="N70" s="99"/>
      <c r="O70" s="100"/>
    </row>
    <row r="71" spans="1:15">
      <c r="A71" s="140"/>
      <c r="B71" s="140"/>
      <c r="C71" s="140"/>
      <c r="D71" s="140"/>
      <c r="E71" s="141"/>
      <c r="F71" s="99"/>
      <c r="G71" s="99"/>
      <c r="H71" s="99"/>
      <c r="I71" s="99"/>
      <c r="J71" s="99"/>
      <c r="K71" s="99"/>
      <c r="L71" s="99"/>
      <c r="M71" s="99"/>
      <c r="N71" s="99"/>
      <c r="O71" s="100"/>
    </row>
    <row r="72" spans="1:15">
      <c r="A72" s="140"/>
      <c r="B72" s="140"/>
      <c r="C72" s="140"/>
      <c r="D72" s="140"/>
      <c r="E72" s="141"/>
      <c r="F72" s="99"/>
      <c r="G72" s="99"/>
      <c r="H72" s="99"/>
      <c r="I72" s="99"/>
      <c r="J72" s="99"/>
      <c r="K72" s="99"/>
      <c r="L72" s="99"/>
      <c r="M72" s="99"/>
      <c r="N72" s="99"/>
      <c r="O72" s="100"/>
    </row>
    <row r="73" spans="1:15">
      <c r="A73" s="140"/>
      <c r="B73" s="140"/>
      <c r="C73" s="140"/>
      <c r="D73" s="140"/>
      <c r="E73" s="141"/>
      <c r="F73" s="99"/>
      <c r="G73" s="99"/>
      <c r="H73" s="99"/>
      <c r="I73" s="99"/>
      <c r="J73" s="99"/>
      <c r="K73" s="99"/>
      <c r="L73" s="99"/>
      <c r="M73" s="99"/>
      <c r="N73" s="99"/>
      <c r="O73" s="100"/>
    </row>
    <row r="74" spans="1:15">
      <c r="A74" s="140"/>
      <c r="B74" s="140"/>
      <c r="C74" s="140"/>
      <c r="D74" s="140"/>
      <c r="E74" s="141"/>
      <c r="F74" s="99"/>
      <c r="G74" s="99"/>
      <c r="H74" s="99"/>
      <c r="I74" s="99"/>
      <c r="J74" s="99"/>
      <c r="K74" s="99"/>
      <c r="L74" s="99"/>
      <c r="M74" s="99"/>
      <c r="N74" s="99"/>
      <c r="O74" s="100"/>
    </row>
    <row r="75" spans="1:15">
      <c r="A75" s="140"/>
      <c r="B75" s="140"/>
      <c r="C75" s="140"/>
      <c r="D75" s="140"/>
      <c r="E75" s="141"/>
      <c r="F75" s="99"/>
      <c r="G75" s="99"/>
      <c r="H75" s="99"/>
      <c r="I75" s="99"/>
      <c r="J75" s="99"/>
      <c r="K75" s="99"/>
      <c r="L75" s="99"/>
      <c r="M75" s="99"/>
      <c r="N75" s="99"/>
      <c r="O75" s="100"/>
    </row>
    <row r="76" spans="1:15">
      <c r="A76" s="140"/>
      <c r="B76" s="140"/>
      <c r="C76" s="140"/>
      <c r="D76" s="140"/>
      <c r="E76" s="141"/>
      <c r="F76" s="99"/>
      <c r="G76" s="99"/>
      <c r="H76" s="99"/>
      <c r="I76" s="99"/>
      <c r="J76" s="99"/>
      <c r="K76" s="99"/>
      <c r="L76" s="99"/>
      <c r="M76" s="99"/>
      <c r="N76" s="99"/>
      <c r="O76" s="100"/>
    </row>
    <row r="77" spans="1:15">
      <c r="A77" s="140"/>
      <c r="B77" s="140"/>
      <c r="C77" s="140"/>
      <c r="D77" s="140"/>
      <c r="E77" s="141"/>
      <c r="F77" s="99"/>
      <c r="G77" s="99"/>
      <c r="H77" s="99"/>
      <c r="I77" s="99"/>
      <c r="J77" s="99"/>
      <c r="K77" s="99"/>
      <c r="L77" s="99"/>
      <c r="M77" s="99"/>
      <c r="N77" s="99"/>
      <c r="O77" s="100"/>
    </row>
    <row r="78" spans="1:15">
      <c r="A78" s="140"/>
      <c r="B78" s="140"/>
      <c r="C78" s="140"/>
      <c r="D78" s="140"/>
      <c r="E78" s="141"/>
      <c r="F78" s="99"/>
      <c r="G78" s="99"/>
      <c r="H78" s="99"/>
      <c r="I78" s="99"/>
      <c r="J78" s="99"/>
      <c r="K78" s="99"/>
      <c r="L78" s="99"/>
      <c r="M78" s="99"/>
      <c r="N78" s="99"/>
      <c r="O78" s="100"/>
    </row>
    <row r="79" spans="1:15">
      <c r="A79" s="140"/>
      <c r="B79" s="140"/>
      <c r="C79" s="140"/>
      <c r="D79" s="140"/>
      <c r="E79" s="141"/>
      <c r="F79" s="99"/>
      <c r="G79" s="99"/>
      <c r="H79" s="99"/>
      <c r="I79" s="99"/>
      <c r="J79" s="99"/>
      <c r="K79" s="99"/>
      <c r="L79" s="99"/>
      <c r="M79" s="99"/>
      <c r="N79" s="99"/>
      <c r="O79" s="100"/>
    </row>
    <row r="80" spans="1:15">
      <c r="A80" s="140"/>
      <c r="B80" s="140"/>
      <c r="C80" s="140"/>
      <c r="D80" s="140"/>
      <c r="E80" s="141"/>
      <c r="F80" s="99"/>
      <c r="G80" s="99"/>
      <c r="H80" s="99"/>
      <c r="I80" s="99"/>
      <c r="J80" s="99"/>
      <c r="K80" s="99"/>
      <c r="L80" s="99"/>
      <c r="M80" s="99"/>
      <c r="N80" s="99"/>
      <c r="O80" s="100"/>
    </row>
    <row r="81" spans="1:15">
      <c r="A81" s="140"/>
      <c r="B81" s="140"/>
      <c r="C81" s="140"/>
      <c r="D81" s="140"/>
      <c r="E81" s="141"/>
      <c r="F81" s="99"/>
      <c r="G81" s="99"/>
      <c r="H81" s="99"/>
      <c r="I81" s="99"/>
      <c r="J81" s="99"/>
      <c r="K81" s="99"/>
      <c r="L81" s="99"/>
      <c r="M81" s="99"/>
      <c r="N81" s="99"/>
      <c r="O81" s="100"/>
    </row>
    <row r="82" spans="1:15">
      <c r="A82" s="140"/>
      <c r="B82" s="140"/>
      <c r="C82" s="140"/>
      <c r="D82" s="140"/>
      <c r="E82" s="141"/>
      <c r="F82" s="99"/>
      <c r="G82" s="99"/>
      <c r="H82" s="99"/>
      <c r="I82" s="99"/>
      <c r="J82" s="99"/>
      <c r="K82" s="99"/>
      <c r="L82" s="99"/>
      <c r="M82" s="99"/>
      <c r="N82" s="99"/>
      <c r="O82" s="100"/>
    </row>
    <row r="83" spans="1:15">
      <c r="A83" s="140"/>
      <c r="B83" s="140"/>
      <c r="C83" s="140"/>
      <c r="D83" s="140"/>
      <c r="E83" s="141"/>
      <c r="F83" s="99"/>
      <c r="G83" s="99"/>
      <c r="H83" s="99"/>
      <c r="I83" s="99"/>
      <c r="J83" s="99"/>
      <c r="K83" s="99"/>
      <c r="L83" s="99"/>
      <c r="M83" s="99"/>
      <c r="N83" s="99"/>
      <c r="O83" s="100"/>
    </row>
    <row r="84" spans="1:15">
      <c r="A84" s="140"/>
      <c r="B84" s="140"/>
      <c r="C84" s="140"/>
      <c r="D84" s="140"/>
      <c r="E84" s="141"/>
      <c r="F84" s="99"/>
      <c r="G84" s="99"/>
      <c r="H84" s="99"/>
      <c r="I84" s="99"/>
      <c r="J84" s="99"/>
      <c r="K84" s="99"/>
      <c r="L84" s="99"/>
      <c r="M84" s="99"/>
      <c r="N84" s="99"/>
      <c r="O84" s="100"/>
    </row>
    <row r="85" spans="1:15">
      <c r="A85" s="140"/>
      <c r="B85" s="140"/>
      <c r="C85" s="140"/>
      <c r="D85" s="140"/>
      <c r="E85" s="141"/>
      <c r="F85" s="99"/>
      <c r="G85" s="99"/>
      <c r="H85" s="99"/>
      <c r="I85" s="99"/>
      <c r="J85" s="99"/>
      <c r="K85" s="99"/>
      <c r="L85" s="99"/>
      <c r="M85" s="99"/>
      <c r="N85" s="99"/>
      <c r="O85" s="100"/>
    </row>
    <row r="86" spans="1:15">
      <c r="A86" s="142"/>
      <c r="B86" s="142"/>
      <c r="C86" s="142"/>
      <c r="D86" s="142"/>
      <c r="E86" s="143"/>
      <c r="F86" s="101"/>
      <c r="G86" s="101"/>
      <c r="H86" s="101"/>
      <c r="I86" s="101"/>
      <c r="J86" s="101"/>
      <c r="K86" s="101"/>
      <c r="L86" s="101"/>
      <c r="M86" s="101"/>
      <c r="N86" s="101"/>
      <c r="O86" s="102"/>
    </row>
  </sheetData>
  <mergeCells count="5">
    <mergeCell ref="A1:E15"/>
    <mergeCell ref="A16:E30"/>
    <mergeCell ref="A31:E50"/>
    <mergeCell ref="A51:E65"/>
    <mergeCell ref="A66:E8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
  <sheetViews>
    <sheetView zoomScale="80" zoomScaleNormal="80" zoomScalePageLayoutView="80" workbookViewId="0">
      <selection activeCell="F41" sqref="F41"/>
    </sheetView>
  </sheetViews>
  <sheetFormatPr defaultColWidth="8.85546875" defaultRowHeight="15"/>
  <cols>
    <col min="1" max="16384" width="8.85546875" style="75"/>
  </cols>
  <sheetData/>
  <pageMargins left="0.7" right="0.7" top="0.75" bottom="0.75" header="0.3" footer="0.3"/>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S53"/>
  <sheetViews>
    <sheetView zoomScale="90" zoomScaleNormal="90" zoomScalePageLayoutView="90" workbookViewId="0">
      <selection activeCell="I16" sqref="I16"/>
    </sheetView>
  </sheetViews>
  <sheetFormatPr defaultColWidth="8.85546875" defaultRowHeight="14.25"/>
  <cols>
    <col min="1" max="1" width="2.85546875" style="1" customWidth="1"/>
    <col min="2" max="2" width="10.42578125" style="1" customWidth="1"/>
    <col min="3" max="3" width="12" style="1" bestFit="1" customWidth="1"/>
    <col min="4" max="4" width="2.85546875" style="1" customWidth="1"/>
    <col min="5" max="5" width="14.28515625" style="1" bestFit="1" customWidth="1"/>
    <col min="6" max="6" width="14.42578125" style="1" bestFit="1" customWidth="1"/>
    <col min="7" max="7" width="8.85546875" style="1"/>
    <col min="8" max="8" width="14.42578125" style="1" bestFit="1" customWidth="1"/>
    <col min="9" max="9" width="15" style="1" customWidth="1"/>
    <col min="10" max="10" width="2.85546875" style="1" customWidth="1"/>
    <col min="11" max="11" width="4.140625" style="1" bestFit="1" customWidth="1"/>
    <col min="12" max="13" width="10.28515625" style="1" bestFit="1" customWidth="1"/>
    <col min="14" max="14" width="8.85546875" style="1"/>
    <col min="15" max="18" width="9.28515625" style="1" bestFit="1" customWidth="1"/>
    <col min="19" max="19" width="12.42578125" style="1" bestFit="1" customWidth="1"/>
    <col min="20" max="16384" width="8.85546875" style="1"/>
  </cols>
  <sheetData>
    <row r="1" spans="2:19" ht="15" thickBot="1"/>
    <row r="2" spans="2:19" ht="17.25" thickBot="1">
      <c r="B2" s="153" t="s">
        <v>52</v>
      </c>
      <c r="C2" s="154"/>
      <c r="E2" s="28" t="s">
        <v>7</v>
      </c>
      <c r="F2" s="29">
        <f>Interface!F11/(2*Background!F10)</f>
        <v>3.9999840000639999E-3</v>
      </c>
      <c r="H2" s="155" t="s">
        <v>53</v>
      </c>
      <c r="I2" s="156"/>
      <c r="K2" s="67" t="s">
        <v>76</v>
      </c>
      <c r="L2" s="53" t="s">
        <v>75</v>
      </c>
      <c r="M2" s="54" t="s">
        <v>10</v>
      </c>
      <c r="N2" s="53" t="s">
        <v>77</v>
      </c>
      <c r="O2" s="53" t="s">
        <v>78</v>
      </c>
      <c r="P2" s="53" t="s">
        <v>79</v>
      </c>
      <c r="Q2" s="53" t="s">
        <v>45</v>
      </c>
      <c r="R2" s="53" t="s">
        <v>46</v>
      </c>
      <c r="S2" s="55" t="s">
        <v>40</v>
      </c>
    </row>
    <row r="3" spans="2:19">
      <c r="B3" s="13" t="s">
        <v>11</v>
      </c>
      <c r="C3" s="14">
        <f>(COS(F2)+F2*SIN(F3))*COS(F8)+(SIN(F2)-F2*COS(F3))*1/TAN(F8)*TAN(Interface!F19)</f>
        <v>0.99995395022459055</v>
      </c>
      <c r="D3" s="15"/>
      <c r="E3" s="30" t="s">
        <v>8</v>
      </c>
      <c r="F3" s="31">
        <f>F2-2*Interface!F20*Background!F2/Interface!F11</f>
        <v>2.799638845189151E-3</v>
      </c>
      <c r="H3" s="96" t="s">
        <v>1</v>
      </c>
      <c r="I3" s="97">
        <f>(Interface!F6*Interface!F16)/(Interface!F17*Interface!F11^3)</f>
        <v>0.33335378616154415</v>
      </c>
      <c r="K3" s="64">
        <v>0</v>
      </c>
      <c r="L3" s="56">
        <f>K3*Interface!$F$11/100</f>
        <v>0</v>
      </c>
      <c r="M3" s="57">
        <f>L3/$F$10</f>
        <v>0</v>
      </c>
      <c r="N3" s="56">
        <f>IF(M3&lt;$F$3,(1/(4*$F$2^2)*(COS($F$2)+$F$2*SIN($F$3)-COS(M3)-M3*SIN(M3))*SIN($F$8)+1/(4*$F$2)*(COS(M3)-COS($F$3))*TAN($I$10))*(Interface!$F$17*Interface!$F$11^2),(1/(4*Background!$F$2^2)*(COS(Background!$F$2)-COS(Background!M3)+(Background!$F$2-Background!M3)*SIN(Background!M3))*SIN(Background!$F$8))*(Interface!$F$17*Interface!$F$11^2))</f>
        <v>11.71588533635574</v>
      </c>
      <c r="O3" s="56">
        <f>IF(M3&lt;$F$3,(1/(4*$F$2^2)*($C$3*SIN(M3)-M3*COS($F$8)))*(Interface!$F$17*Interface!$F$11^2),(1/(4*$F$2^2)*($F$2-M3-SIN($F$2-M3))*COS($F$8))*(Interface!$F$17*Interface!$F$11^2))</f>
        <v>0</v>
      </c>
      <c r="P3" s="56">
        <f>IF(M3&lt;$F$3,(1/(4*$F$2^2)*(COS($F$8)-$C$3*COS(M3)))*(Interface!$F$17*Interface!$F$11^2),(1/(4*$F$2^2)*(1-COS($F$2-M3))*COS($F$8))*(Interface!$F$17*Interface!$F$11^2))</f>
        <v>-1180.4536595200918</v>
      </c>
      <c r="Q3" s="56">
        <f>IF(M3&lt;$F$3,(1/(64*$F$2^4*$I$4)*((-4*$C$4+3*M3*SIN(M3)+($C$5-M3^2)*COS(M3))*SIN($F$8)+(4*$F$2*COS($F$3)-2*$F$2*M3*SIN(M3)+$C$6*COS(M3))*TAN($I$10)))*Interface!$F$11,(1/(64*$F$2^4*$I$4)*((4*(COS(M3)*1/COS($F$3)-1)*COS($F$2)+($C$7+3*M3)*SIN(M3)+($F$3-M3)*($C$8+M3)*COS(M3)-$C$9*COS(M3))*SIN($F$8)+$C$10*SIN($F$3-M3)*TAN($I$10)))*Interface!$F$11)</f>
        <v>5.3524514117383329E-3</v>
      </c>
      <c r="R3" s="56">
        <f>IF(M3&lt;$F$3,(1/(32*$F$2^4*$I$3*$I$5)*($C$21-$I$5*M3^2*COS($F$8)+$C$22*COS(M3)+$C$23*M3*SIN(M3)))*Interface!$F$11,(1/(64*$F$2^4*$I$3*$I$5)*($C$24+2*$F$2*$C$25*M3-$C$25*M3^2+$C$26*SIN(M3)+$C$27*COS(M3)+$C$28*M3*SIN(M3)+$C$29*M3*COS(M3)))*Interface!$F$11)</f>
        <v>2.1562422810491415E-2</v>
      </c>
      <c r="S3" s="58">
        <f>IF(M3&lt;$F$3,($I$3+$I$5)/(16*$F$2^3*$I$3*$I$5)*(-2*COS($F$8)+$C$15*COS(M3)+$C$3*M3*SIN(M3)),1/(64*$F$2^3*$I$3*$I$5)*($C$16+$C$17*SIN(M3)+$C$18*COS(M3)+$C$19*M3*SIN(M3)+$C$20*M3*COS(M3)))*180/PI()</f>
        <v>-3.5648641999320328E-3</v>
      </c>
    </row>
    <row r="4" spans="2:19">
      <c r="B4" s="16" t="s">
        <v>12</v>
      </c>
      <c r="C4" s="17">
        <f>COS(F2)+F2*SIN(F3)</f>
        <v>1.0000031985706239</v>
      </c>
      <c r="D4" s="15"/>
      <c r="E4" s="30" t="s">
        <v>9</v>
      </c>
      <c r="F4" s="31">
        <f>F10*(SIN(F2)-F2*COS(F3))/F2</f>
        <v>7.1571692839805011E-3</v>
      </c>
      <c r="H4" s="25" t="s">
        <v>2</v>
      </c>
      <c r="I4" s="26">
        <f>(Interface!F3*Interface!F14)/(Interface!F17*Interface!F11^3)</f>
        <v>0.206463482323963</v>
      </c>
      <c r="K4" s="65">
        <v>1</v>
      </c>
      <c r="L4" s="15">
        <f>K4*Interface!$F$11/100</f>
        <v>0.4572</v>
      </c>
      <c r="M4" s="59">
        <f t="shared" ref="M4:M53" si="0">L4/$F$10</f>
        <v>7.9999680001279993E-5</v>
      </c>
      <c r="N4" s="15">
        <f>IF(M4&lt;$F$3,(1/(4*$F$2^2)*(COS($F$2)+$F$2*SIN($F$3)-COS(M4)-M4*SIN(M4))*SIN($F$8)+1/(4*$F$2)*(COS(M4)-COS($F$3))*TAN($I$10))*(Interface!$F$17*Interface!$F$11^2),(1/(4*Background!$F$2^2)*(COS(Background!$F$2)-COS(Background!M4)+(Background!$F$2-Background!M4)*SIN(Background!M4))*SIN(Background!$F$8))*(Interface!$F$17*Interface!$F$11^2))</f>
        <v>11.704164309209084</v>
      </c>
      <c r="O4" s="15">
        <f>IF(M4&lt;$F$3,(1/(4*$F$2^2)*($C$3*SIN(M4)-M4*COS($F$8)))*(Interface!$F$17*Interface!$F$11^2),(1/(4*$F$2^2)*($F$2-M4-SIN($F$2-M4))*COS($F$8))*(Interface!$F$17*Interface!$F$11^2))</f>
        <v>9.4404422464140658E-2</v>
      </c>
      <c r="P4" s="15">
        <f>IF(M4&lt;$F$3,(1/(4*$F$2^2)*(COS($F$8)-$C$3*COS(M4)))*(Interface!$F$17*Interface!$F$11^2),(1/(4*$F$2^2)*(1-COS($F$2-M4))*COS($F$8))*(Interface!$F$17*Interface!$F$11^2))</f>
        <v>-1179.2726839999464</v>
      </c>
      <c r="Q4" s="15">
        <f>IF(M4&lt;$F$3,(1/(64*$F$2^4*$I$4)*((-4*$C$4+3*M4*SIN(M4)+($C$5-M4^2)*COS(M4))*SIN($F$8)+(4*$F$2*COS($F$3)-2*$F$2*M4*SIN(M4)+$C$6*COS(M4))*TAN($I$10)))*Interface!$F$11,(1/(64*$F$2^4*$I$4)*((4*(COS(M4)*1/COS($F$3)-1)*COS($F$2)+($C$7+3*M4)*SIN(M4)+($F$3-M4)*($C$8+M4)*COS(M4)-$C$9*COS(M4))*SIN($F$8)+$C$10*SIN($F$3-M4)*TAN($I$10)))*Interface!$F$11)</f>
        <v>5.3468518654544057E-3</v>
      </c>
      <c r="R4" s="15">
        <f>IF(M4&lt;$F$3,(1/(32*$F$2^4*$I$3*$I$5)*($C$21-$I$5*M4^2*COS($F$8)+$C$22*COS(M4)+$C$23*M4*SIN(M4)))*Interface!$F$11,(1/(64*$F$2^4*$I$3*$I$5)*($C$24+2*$F$2*$C$25*M4-$C$25*M4^2+$C$26*SIN(M4)+$C$27*COS(M4)+$C$28*M4*SIN(M4)+$C$29*M4*COS(M4)))*Interface!$F$11)</f>
        <v>2.1540752898068397E-2</v>
      </c>
      <c r="S4" s="60">
        <f t="shared" ref="S4:S53" si="1">IF(M4&lt;$F$3,($I$3+$I$5)/(16*$F$2^3*$I$3*$I$5)*(-2*COS($F$8)+$C$15*COS(M4)+$C$3*M4*SIN(M4)),1/(64*$F$2^3*$I$3*$I$5)*($C$16+$C$17*SIN(M4)+$C$18*COS(M4)+$C$19*M4*SIN(M4)+$C$20*M4*COS(M4)))*180/PI()</f>
        <v>-3.5612250705483539E-3</v>
      </c>
    </row>
    <row r="5" spans="2:19" ht="15" thickBot="1">
      <c r="B5" s="16" t="s">
        <v>13</v>
      </c>
      <c r="C5" s="17">
        <f>F3^2+4*COS(F2)*1/COS(F3)+(4*F2-3*F3)*TAN(F3)</f>
        <v>4.000012794322398</v>
      </c>
      <c r="D5" s="15"/>
      <c r="E5" s="32" t="s">
        <v>10</v>
      </c>
      <c r="F5" s="71">
        <f>(Interface!K2)/F10</f>
        <v>0</v>
      </c>
      <c r="H5" s="25" t="s">
        <v>3</v>
      </c>
      <c r="I5" s="26">
        <f>(Interface!F3*Interface!F13)/(Interface!F17*Interface!F11^3)</f>
        <v>5.1612425925200416</v>
      </c>
      <c r="K5" s="65">
        <v>2</v>
      </c>
      <c r="L5" s="15">
        <f>K5*Interface!$F$11/100</f>
        <v>0.91439999999999999</v>
      </c>
      <c r="M5" s="59">
        <f t="shared" si="0"/>
        <v>1.5999936000255999E-4</v>
      </c>
      <c r="N5" s="15">
        <f>IF(M5&lt;$F$3,(1/(4*$F$2^2)*(COS($F$2)+$F$2*SIN($F$3)-COS(M5)-M5*SIN(M5))*SIN($F$8)+1/(4*$F$2)*(COS(M5)-COS($F$3))*TAN($I$10))*(Interface!$F$17*Interface!$F$11^2),(1/(4*Background!$F$2^2)*(COS(Background!$F$2)-COS(Background!M5)+(Background!$F$2-Background!M5)*SIN(Background!M5))*SIN(Background!$F$8))*(Interface!$F$17*Interface!$F$11^2))</f>
        <v>11.669001228069176</v>
      </c>
      <c r="O5" s="15">
        <f>IF(M5&lt;$F$3,(1/(4*$F$2^2)*($C$3*SIN(M5)-M5*COS($F$8)))*(Interface!$F$17*Interface!$F$11^2),(1/(4*$F$2^2)*($F$2-M5-SIN($F$2-M5))*COS($F$8))*(Interface!$F$17*Interface!$F$11^2))</f>
        <v>0.188619889596671</v>
      </c>
      <c r="P5" s="15">
        <f>IF(M5&lt;$F$3,(1/(4*$F$2^2)*(COS($F$8)-$C$3*COS(M5)))*(Interface!$F$17*Interface!$F$11^2),(1/(4*$F$2^2)*(1-COS($F$2-M5))*COS($F$8))*(Interface!$F$17*Interface!$F$11^2))</f>
        <v>-1175.7297574804857</v>
      </c>
      <c r="Q5" s="15">
        <f>IF(M5&lt;$F$3,(1/(64*$F$2^4*$I$4)*((-4*$C$4+3*M5*SIN(M5)+($C$5-M5^2)*COS(M5))*SIN($F$8)+(4*$F$2*COS($F$3)-2*$F$2*M5*SIN(M5)+$C$6*COS(M5))*TAN($I$10)))*Interface!$F$11,(1/(64*$F$2^4*$I$4)*((4*(COS(M5)*1/COS($F$3)-1)*COS($F$2)+($C$7+3*M5)*SIN(M5)+($F$3-M5)*($C$8+M5)*COS(M5)-$C$9*COS(M5))*SIN($F$8)+$C$10*SIN($F$3-M5)*TAN($I$10)))*Interface!$F$11)</f>
        <v>5.3305297837331718E-3</v>
      </c>
      <c r="R5" s="15">
        <f>IF(M5&lt;$F$3,(1/(32*$F$2^4*$I$3*$I$5)*($C$21-$I$5*M5^2*COS($F$8)+$C$22*COS(M5)+$C$23*M5*SIN(M5)))*Interface!$F$11,(1/(64*$F$2^4*$I$3*$I$5)*($C$24+2*$F$2*$C$25*M5-$C$25*M5^2+$C$26*SIN(M5)+$C$27*COS(M5)+$C$28*M5*SIN(M5)+$C$29*M5*COS(M5)))*Interface!$F$11)</f>
        <v>2.1477203192640956E-2</v>
      </c>
      <c r="S5" s="60">
        <f t="shared" si="1"/>
        <v>-3.5502429649115017E-3</v>
      </c>
    </row>
    <row r="6" spans="2:19" ht="15" thickBot="1">
      <c r="B6" s="16" t="s">
        <v>14</v>
      </c>
      <c r="C6" s="17">
        <f>2*F2*(F3*TAN(F3)-2)</f>
        <v>-1.5999873296521683E-2</v>
      </c>
      <c r="D6" s="15"/>
      <c r="G6" s="18"/>
      <c r="H6" s="25" t="s">
        <v>4</v>
      </c>
      <c r="I6" s="26">
        <f>(Interface!F3*Interface!F15)/(Interface!F17*Interface!F11^5)</f>
        <v>0</v>
      </c>
      <c r="K6" s="65">
        <v>3</v>
      </c>
      <c r="L6" s="15">
        <f>K6*Interface!$F$11/100</f>
        <v>1.3715999999999999</v>
      </c>
      <c r="M6" s="59">
        <f t="shared" si="0"/>
        <v>2.3999904000383997E-4</v>
      </c>
      <c r="N6" s="15">
        <f>IF(M6&lt;$F$3,(1/(4*$F$2^2)*(COS($F$2)+$F$2*SIN($F$3)-COS(M6)-M6*SIN(M6))*SIN($F$8)+1/(4*$F$2)*(COS(M6)-COS($F$3))*TAN($I$10))*(Interface!$F$17*Interface!$F$11^2),(1/(4*Background!$F$2^2)*(COS(Background!$F$2)-COS(Background!M6)+(Background!$F$2-Background!M6)*SIN(Background!M6))*SIN(Background!$F$8))*(Interface!$F$17*Interface!$F$11^2))</f>
        <v>11.610396093429525</v>
      </c>
      <c r="O6" s="15">
        <f>IF(M6&lt;$F$3,(1/(4*$F$2^2)*($C$3*SIN(M6)-M6*COS($F$8)))*(Interface!$F$17*Interface!$F$11^2),(1/(4*$F$2^2)*($F$2-M6-SIN($F$2-M6))*COS($F$8))*(Interface!$F$17*Interface!$F$11^2))</f>
        <v>0.28245744610099394</v>
      </c>
      <c r="P6" s="15">
        <f>IF(M6&lt;$F$3,(1/(4*$F$2^2)*(COS($F$8)-$C$3*COS(M6)))*(Interface!$F$17*Interface!$F$11^2),(1/(4*$F$2^2)*(1-COS($F$2-M6))*COS($F$8))*(Interface!$F$17*Interface!$F$11^2))</f>
        <v>-1169.8248800026854</v>
      </c>
      <c r="Q6" s="15">
        <f>IF(M6&lt;$F$3,(1/(64*$F$2^4*$I$4)*((-4*$C$4+3*M6*SIN(M6)+($C$5-M6^2)*COS(M6))*SIN($F$8)+(4*$F$2*COS($F$3)-2*$F$2*M6*SIN(M6)+$C$6*COS(M6))*TAN($I$10)))*Interface!$F$11,(1/(64*$F$2^4*$I$4)*((4*(COS(M6)*1/COS($F$3)-1)*COS($F$2)+($C$7+3*M6)*SIN(M6)+($F$3-M6)*($C$8+M6)*COS(M6)-$C$9*COS(M6))*SIN($F$8)+$C$10*SIN($F$3-M6)*TAN($I$10)))*Interface!$F$11)</f>
        <v>5.3031277487267207E-3</v>
      </c>
      <c r="R6" s="15">
        <f>IF(M6&lt;$F$3,(1/(32*$F$2^4*$I$3*$I$5)*($C$21-$I$5*M6^2*COS($F$8)+$C$22*COS(M6)+$C$23*M6*SIN(M6)))*Interface!$F$11,(1/(64*$F$2^4*$I$3*$I$5)*($C$24+2*$F$2*$C$25*M6-$C$25*M6^2+$C$26*SIN(M6)+$C$27*COS(M6)+$C$28*M6*SIN(M6)+$C$29*M6*COS(M6)))*Interface!$F$11)</f>
        <v>2.1364629245721863E-2</v>
      </c>
      <c r="S6" s="60">
        <f t="shared" si="1"/>
        <v>-3.5320014730283828E-3</v>
      </c>
    </row>
    <row r="7" spans="2:19">
      <c r="B7" s="16" t="s">
        <v>15</v>
      </c>
      <c r="C7" s="17">
        <f>F2*COS(2*F3)-3*F2</f>
        <v>-8.0000307035346715E-3</v>
      </c>
      <c r="D7" s="15"/>
      <c r="E7" s="19" t="s">
        <v>47</v>
      </c>
      <c r="F7" s="20">
        <f>ATAN(F4/Interface!F18)</f>
        <v>7.8648590242487749E-3</v>
      </c>
      <c r="H7" s="25" t="s">
        <v>5</v>
      </c>
      <c r="I7" s="26">
        <f>(Interface!F3*Interface!F12)/(Interface!F17*Interface!F11)</f>
        <v>55563.297950588036</v>
      </c>
      <c r="K7" s="65">
        <v>4</v>
      </c>
      <c r="L7" s="15">
        <f>K7*Interface!$F$11/100</f>
        <v>1.8288</v>
      </c>
      <c r="M7" s="59">
        <f t="shared" si="0"/>
        <v>3.1999872000511997E-4</v>
      </c>
      <c r="N7" s="15">
        <f>IF(M7&lt;$F$3,(1/(4*$F$2^2)*(COS($F$2)+$F$2*SIN($F$3)-COS(M7)-M7*SIN(M7))*SIN($F$8)+1/(4*$F$2)*(COS(M7)-COS($F$3))*TAN($I$10))*(Interface!$F$17*Interface!$F$11^2),(1/(4*Background!$F$2^2)*(COS(Background!$F$2)-COS(Background!M7)+(Background!$F$2-Background!M7)*SIN(Background!M7))*SIN(Background!$F$8))*(Interface!$F$17*Interface!$F$11^2))</f>
        <v>11.528348906790409</v>
      </c>
      <c r="O7" s="15">
        <f>IF(M7&lt;$F$3,(1/(4*$F$2^2)*($C$3*SIN(M7)-M7*COS($F$8)))*(Interface!$F$17*Interface!$F$11^2),(1/(4*$F$2^2)*($F$2-M7-SIN($F$2-M7))*COS($F$8))*(Interface!$F$17*Interface!$F$11^2))</f>
        <v>0.3757281366004821</v>
      </c>
      <c r="P7" s="15">
        <f>IF(M7&lt;$F$3,(1/(4*$F$2^2)*(COS($F$8)-$C$3*COS(M7)))*(Interface!$F$17*Interface!$F$11^2),(1/(4*$F$2^2)*(1-COS($F$2-M7))*COS($F$8))*(Interface!$F$17*Interface!$F$11^2))</f>
        <v>-1161.5580515255699</v>
      </c>
      <c r="Q7" s="15">
        <f>IF(M7&lt;$F$3,(1/(64*$F$2^4*$I$4)*((-4*$C$4+3*M7*SIN(M7)+($C$5-M7^2)*COS(M7))*SIN($F$8)+(4*$F$2*COS($F$3)-2*$F$2*M7*SIN(M7)+$C$6*COS(M7))*TAN($I$10)))*Interface!$F$11,(1/(64*$F$2^4*$I$4)*((4*(COS(M7)*1/COS($F$3)-1)*COS($F$2)+($C$7+3*M7)*SIN(M7)+($F$3-M7)*($C$8+M7)*COS(M7)-$C$9*COS(M7))*SIN($F$8)+$C$10*SIN($F$3-M7)*TAN($I$10)))*Interface!$F$11)</f>
        <v>5.2647648997176891E-3</v>
      </c>
      <c r="R7" s="15">
        <f>IF(M7&lt;$F$3,(1/(32*$F$2^4*$I$3*$I$5)*($C$21-$I$5*M7^2*COS($F$8)+$C$22*COS(M7)+$C$23*M7*SIN(M7)))*Interface!$F$11,(1/(64*$F$2^4*$I$3*$I$5)*($C$24+2*$F$2*$C$25*M7-$C$25*M7^2+$C$26*SIN(M7)+$C$27*COS(M7)+$C$28*M7*SIN(M7)+$C$29*M7*COS(M7)))*Interface!$F$11)</f>
        <v>2.1210331216347446E-2</v>
      </c>
      <c r="S7" s="60">
        <f t="shared" si="1"/>
        <v>-3.5064944274220003E-3</v>
      </c>
    </row>
    <row r="8" spans="2:19" ht="15" thickBot="1">
      <c r="B8" s="16" t="s">
        <v>16</v>
      </c>
      <c r="C8" s="17">
        <f>F3-2*F2</f>
        <v>-5.2003291549388483E-3</v>
      </c>
      <c r="D8" s="15"/>
      <c r="E8" s="21" t="s">
        <v>54</v>
      </c>
      <c r="F8" s="22">
        <f>1/(I8*F2-C11)*((SIN(F2)-F2*COS(F3))/(2*F2)+C12*TAN(Interface!F19))</f>
        <v>9.9245748267255997E-3</v>
      </c>
      <c r="H8" s="25" t="s">
        <v>6</v>
      </c>
      <c r="I8" s="26">
        <f>Interface!F18/Interface!F11</f>
        <v>1.9903762029746284E-2</v>
      </c>
      <c r="K8" s="65">
        <v>5</v>
      </c>
      <c r="L8" s="15">
        <f>K8*Interface!$F$11/100</f>
        <v>2.286</v>
      </c>
      <c r="M8" s="59">
        <f t="shared" si="0"/>
        <v>3.9999840000639995E-4</v>
      </c>
      <c r="N8" s="15">
        <f>IF(M8&lt;$F$3,(1/(4*$F$2^2)*(COS($F$2)+$F$2*SIN($F$3)-COS(M8)-M8*SIN(M8))*SIN($F$8)+1/(4*$F$2)*(COS(M8)-COS($F$3))*TAN($I$10))*(Interface!$F$17*Interface!$F$11^2),(1/(4*Background!$F$2^2)*(COS(Background!$F$2)-COS(Background!M8)+(Background!$F$2-Background!M8)*SIN(Background!M8))*SIN(Background!$F$8))*(Interface!$F$17*Interface!$F$11^2))</f>
        <v>11.422859669032245</v>
      </c>
      <c r="O8" s="15">
        <f>IF(M8&lt;$F$3,(1/(4*$F$2^2)*($C$3*SIN(M8)-M8*COS($F$8)))*(Interface!$F$17*Interface!$F$11^2),(1/(4*$F$2^2)*($F$2-M8-SIN($F$2-M8))*COS($F$8))*(Interface!$F$17*Interface!$F$11^2))</f>
        <v>0.46824300584355544</v>
      </c>
      <c r="P8" s="15">
        <f>IF(M8&lt;$F$3,(1/(4*$F$2^2)*(COS($F$8)-$C$3*COS(M8)))*(Interface!$F$17*Interface!$F$11^2),(1/(4*$F$2^2)*(1-COS($F$2-M8))*COS($F$8))*(Interface!$F$17*Interface!$F$11^2))</f>
        <v>-1150.9292721720656</v>
      </c>
      <c r="Q8" s="15">
        <f>IF(M8&lt;$F$3,(1/(64*$F$2^4*$I$4)*((-4*$C$4+3*M8*SIN(M8)+($C$5-M8^2)*COS(M8))*SIN($F$8)+(4*$F$2*COS($F$3)-2*$F$2*M8*SIN(M8)+$C$6*COS(M8))*TAN($I$10)))*Interface!$F$11,(1/(64*$F$2^4*$I$4)*((4*(COS(M8)*1/COS($F$3)-1)*COS($F$2)+($C$7+3*M8)*SIN(M8)+($F$3-M8)*($C$8+M8)*COS(M8)-$C$9*COS(M8))*SIN($F$8)+$C$10*SIN($F$3-M8)*TAN($I$10)))*Interface!$F$11)</f>
        <v>5.2156795152713516E-3</v>
      </c>
      <c r="R8" s="15">
        <f>IF(M8&lt;$F$3,(1/(32*$F$2^4*$I$3*$I$5)*($C$21-$I$5*M8^2*COS($F$8)+$C$22*COS(M8)+$C$23*M8*SIN(M8)))*Interface!$F$11,(1/(64*$F$2^4*$I$3*$I$5)*($C$24+2*$F$2*$C$25*M8-$C$25*M8^2+$C$26*SIN(M8)+$C$27*COS(M8)+$C$28*M8*SIN(M8)+$C$29*M8*COS(M8)))*Interface!$F$11)</f>
        <v>2.1013004784083834E-2</v>
      </c>
      <c r="S8" s="60">
        <f t="shared" si="1"/>
        <v>-3.4737846131231661E-3</v>
      </c>
    </row>
    <row r="9" spans="2:19" ht="15" thickBot="1">
      <c r="B9" s="16" t="s">
        <v>17</v>
      </c>
      <c r="C9" s="17">
        <f>(3*(F3-F2)+F2*COS(2*F3))*TAN(F3)</f>
        <v>1.1167391878150337E-6</v>
      </c>
      <c r="D9" s="15"/>
      <c r="H9" s="27" t="s">
        <v>115</v>
      </c>
      <c r="I9" s="46">
        <f>Interface!F22/Interface!F11</f>
        <v>0</v>
      </c>
      <c r="K9" s="65">
        <v>6</v>
      </c>
      <c r="L9" s="15">
        <f>K9*Interface!$F$11/100</f>
        <v>2.7431999999999999</v>
      </c>
      <c r="M9" s="59">
        <f t="shared" si="0"/>
        <v>4.7999808000767993E-4</v>
      </c>
      <c r="N9" s="15">
        <f>IF(M9&lt;$F$3,(1/(4*$F$2^2)*(COS($F$2)+$F$2*SIN($F$3)-COS(M9)-M9*SIN(M9))*SIN($F$8)+1/(4*$F$2)*(COS(M9)-COS($F$3))*TAN($I$10))*(Interface!$F$17*Interface!$F$11^2),(1/(4*Background!$F$2^2)*(COS(Background!$F$2)-COS(Background!M9)+(Background!$F$2-Background!M9)*SIN(Background!M9))*SIN(Background!$F$8))*(Interface!$F$17*Interface!$F$11^2))</f>
        <v>11.293928382855537</v>
      </c>
      <c r="O9" s="15">
        <f>IF(M9&lt;$F$3,(1/(4*$F$2^2)*($C$3*SIN(M9)-M9*COS($F$8)))*(Interface!$F$17*Interface!$F$11^2),(1/(4*$F$2^2)*($F$2-M9-SIN($F$2-M9))*COS($F$8))*(Interface!$F$17*Interface!$F$11^2))</f>
        <v>0.55981309846859229</v>
      </c>
      <c r="P9" s="15">
        <f>IF(M9&lt;$F$3,(1/(4*$F$2^2)*(COS($F$8)-$C$3*COS(M9)))*(Interface!$F$17*Interface!$F$11^2),(1/(4*$F$2^2)*(1-COS($F$2-M9))*COS($F$8))*(Interface!$F$17*Interface!$F$11^2))</f>
        <v>-1137.9385419831483</v>
      </c>
      <c r="Q9" s="15">
        <f>IF(M9&lt;$F$3,(1/(64*$F$2^4*$I$4)*((-4*$C$4+3*M9*SIN(M9)+($C$5-M9^2)*COS(M9))*SIN($F$8)+(4*$F$2*COS($F$3)-2*$F$2*M9*SIN(M9)+$C$6*COS(M9))*TAN($I$10)))*Interface!$F$11,(1/(64*$F$2^4*$I$4)*((4*(COS(M9)*1/COS($F$3)-1)*COS($F$2)+($C$7+3*M9)*SIN(M9)+($F$3-M9)*($C$8+M9)*COS(M9)-$C$9*COS(M9))*SIN($F$8)+$C$10*SIN($F$3-M9)*TAN($I$10)))*Interface!$F$11)</f>
        <v>5.155990734670342E-3</v>
      </c>
      <c r="R9" s="15">
        <f>IF(M9&lt;$F$3,(1/(32*$F$2^4*$I$3*$I$5)*($C$21-$I$5*M9^2*COS($F$8)+$C$22*COS(M9)+$C$23*M9*SIN(M9)))*Interface!$F$11,(1/(64*$F$2^4*$I$3*$I$5)*($C$24+2*$F$2*$C$25*M9-$C$25*M9^2+$C$26*SIN(M9)+$C$27*COS(M9)+$C$28*M9*SIN(M9)+$C$29*M9*COS(M9)))*Interface!$F$11)</f>
        <v>2.0774265690806558E-2</v>
      </c>
      <c r="S9" s="60">
        <f t="shared" si="1"/>
        <v>-3.433964090172124E-3</v>
      </c>
    </row>
    <row r="10" spans="2:19" ht="15" thickBot="1">
      <c r="B10" s="16" t="s">
        <v>18</v>
      </c>
      <c r="C10" s="17">
        <f>F2*(2*F3-SIN(2*F3))*1/COS(F3)</f>
        <v>1.1703184297968617E-10</v>
      </c>
      <c r="D10" s="15"/>
      <c r="E10" s="33" t="s">
        <v>0</v>
      </c>
      <c r="F10" s="34">
        <f>((Interface!F21*Interface!F11)^2+(0.5*Interface!F11)^2)/(2*Interface!F21*Interface!F11)</f>
        <v>5715.02286</v>
      </c>
      <c r="G10" s="18"/>
      <c r="H10" s="27" t="s">
        <v>80</v>
      </c>
      <c r="I10" s="95">
        <f>Interface!F19</f>
        <v>0</v>
      </c>
      <c r="K10" s="65">
        <v>7</v>
      </c>
      <c r="L10" s="15">
        <f>K10*Interface!$F$11/100</f>
        <v>3.2003999999999997</v>
      </c>
      <c r="M10" s="59">
        <f t="shared" si="0"/>
        <v>5.5999776000895986E-4</v>
      </c>
      <c r="N10" s="15">
        <f>IF(M10&lt;$F$3,(1/(4*$F$2^2)*(COS($F$2)+$F$2*SIN($F$3)-COS(M10)-M10*SIN(M10))*SIN($F$8)+1/(4*$F$2)*(COS(M10)-COS($F$3))*TAN($I$10))*(Interface!$F$17*Interface!$F$11^2),(1/(4*Background!$F$2^2)*(COS(Background!$F$2)-COS(Background!M10)+(Background!$F$2-Background!M10)*SIN(Background!M10))*SIN(Background!$F$8))*(Interface!$F$17*Interface!$F$11^2))</f>
        <v>11.141555050747581</v>
      </c>
      <c r="O10" s="15">
        <f>IF(M10&lt;$F$3,(1/(4*$F$2^2)*($C$3*SIN(M10)-M10*COS($F$8)))*(Interface!$F$17*Interface!$F$11^2),(1/(4*$F$2^2)*($F$2-M10-SIN($F$2-M10))*COS($F$8))*(Interface!$F$17*Interface!$F$11^2))</f>
        <v>0.65024945918399757</v>
      </c>
      <c r="P10" s="15">
        <f>IF(M10&lt;$F$3,(1/(4*$F$2^2)*(COS($F$8)-$C$3*COS(M10)))*(Interface!$F$17*Interface!$F$11^2),(1/(4*$F$2^2)*(1-COS($F$2-M10))*COS($F$8))*(Interface!$F$17*Interface!$F$11^2))</f>
        <v>-1122.5858610407688</v>
      </c>
      <c r="Q10" s="15">
        <f>IF(M10&lt;$F$3,(1/(64*$F$2^4*$I$4)*((-4*$C$4+3*M10*SIN(M10)+($C$5-M10^2)*COS(M10))*SIN($F$8)+(4*$F$2*COS($F$3)-2*$F$2*M10*SIN(M10)+$C$6*COS(M10))*TAN($I$10)))*Interface!$F$11,(1/(64*$F$2^4*$I$4)*((4*(COS(M10)*1/COS($F$3)-1)*COS($F$2)+($C$7+3*M10)*SIN(M10)+($F$3-M10)*($C$8+M10)*COS(M10)-$C$9*COS(M10))*SIN($F$8)+$C$10*SIN($F$3-M10)*TAN($I$10)))*Interface!$F$11)</f>
        <v>5.0855794186320273E-3</v>
      </c>
      <c r="R10" s="15">
        <f>IF(M10&lt;$F$3,(1/(32*$F$2^4*$I$3*$I$5)*($C$21-$I$5*M10^2*COS($F$8)+$C$22*COS(M10)+$C$23*M10*SIN(M10)))*Interface!$F$11,(1/(64*$F$2^4*$I$3*$I$5)*($C$24+2*$F$2*$C$25*M10-$C$25*M10^2+$C$26*SIN(M10)+$C$27*COS(M10)+$C$28*M10*SIN(M10)+$C$29*M10*COS(M10)))*Interface!$F$11)</f>
        <v>2.0487125199092668E-2</v>
      </c>
      <c r="S10" s="60">
        <f t="shared" si="1"/>
        <v>-3.3871145161172285E-3</v>
      </c>
    </row>
    <row r="11" spans="2:19" ht="15" customHeight="1" thickBot="1">
      <c r="B11" s="16" t="s">
        <v>19</v>
      </c>
      <c r="C11" s="17">
        <f>C13/(768*F2^4*I4)</f>
        <v>1.6521695767987122E-5</v>
      </c>
      <c r="D11" s="15"/>
      <c r="K11" s="65">
        <v>8</v>
      </c>
      <c r="L11" s="15">
        <f>K11*Interface!$F$11/100</f>
        <v>3.6576</v>
      </c>
      <c r="M11" s="59">
        <f t="shared" si="0"/>
        <v>6.3999744001023995E-4</v>
      </c>
      <c r="N11" s="15">
        <f>IF(M11&lt;$F$3,(1/(4*$F$2^2)*(COS($F$2)+$F$2*SIN($F$3)-COS(M11)-M11*SIN(M11))*SIN($F$8)+1/(4*$F$2)*(COS(M11)-COS($F$3))*TAN($I$10))*(Interface!$F$17*Interface!$F$11^2),(1/(4*Background!$F$2^2)*(COS(Background!$F$2)-COS(Background!M11)+(Background!$F$2-Background!M11)*SIN(Background!M11))*SIN(Background!$F$8))*(Interface!$F$17*Interface!$F$11^2))</f>
        <v>10.965739674982476</v>
      </c>
      <c r="O11" s="15">
        <f>IF(M11&lt;$F$3,(1/(4*$F$2^2)*($C$3*SIN(M11)-M11*COS($F$8)))*(Interface!$F$17*Interface!$F$11^2),(1/(4*$F$2^2)*($F$2-M11-SIN($F$2-M11))*COS($F$8))*(Interface!$F$17*Interface!$F$11^2))</f>
        <v>0.73936313265816089</v>
      </c>
      <c r="P11" s="15">
        <f>IF(M11&lt;$F$3,(1/(4*$F$2^2)*(COS($F$8)-$C$3*COS(M11)))*(Interface!$F$17*Interface!$F$11^2),(1/(4*$F$2^2)*(1-COS($F$2-M11))*COS($F$8))*(Interface!$F$17*Interface!$F$11^2))</f>
        <v>-1104.8712294678539</v>
      </c>
      <c r="Q11" s="15">
        <f>IF(M11&lt;$F$3,(1/(64*$F$2^4*$I$4)*((-4*$C$4+3*M11*SIN(M11)+($C$5-M11^2)*COS(M11))*SIN($F$8)+(4*$F$2*COS($F$3)-2*$F$2*M11*SIN(M11)+$C$6*COS(M11))*TAN($I$10)))*Interface!$F$11,(1/(64*$F$2^4*$I$4)*((4*(COS(M11)*1/COS($F$3)-1)*COS($F$2)+($C$7+3*M11)*SIN(M11)+($F$3-M11)*($C$8+M11)*COS(M11)-$C$9*COS(M11))*SIN($F$8)+$C$10*SIN($F$3-M11)*TAN($I$10)))*Interface!$F$11)</f>
        <v>5.0046838457216787E-3</v>
      </c>
      <c r="R11" s="15">
        <f>IF(M11&lt;$F$3,(1/(32*$F$2^4*$I$3*$I$5)*($C$21-$I$5*M11^2*COS($F$8)+$C$22*COS(M11)+$C$23*M11*SIN(M11)))*Interface!$F$11,(1/(64*$F$2^4*$I$3*$I$5)*($C$24+2*$F$2*$C$25*M11-$C$25*M11^2+$C$26*SIN(M11)+$C$27*COS(M11)+$C$28*M11*SIN(M11)+$C$29*M11*COS(M11)))*Interface!$F$11)</f>
        <v>2.0159039172860532E-2</v>
      </c>
      <c r="S11" s="60">
        <f t="shared" si="1"/>
        <v>-3.3332674684361618E-3</v>
      </c>
    </row>
    <row r="12" spans="2:19" ht="16.5" customHeight="1" thickBot="1">
      <c r="B12" s="16" t="s">
        <v>20</v>
      </c>
      <c r="C12" s="17">
        <f>C14/(256*F2^3*I4*COS(F3))</f>
        <v>8.3545454804091332E-8</v>
      </c>
      <c r="D12" s="15"/>
      <c r="E12" s="161" t="s">
        <v>43</v>
      </c>
      <c r="F12" s="162"/>
      <c r="G12" s="162"/>
      <c r="H12" s="163"/>
      <c r="I12" s="36"/>
      <c r="K12" s="65">
        <v>9</v>
      </c>
      <c r="L12" s="15">
        <f>K12*Interface!$F$11/100</f>
        <v>4.1147999999999998</v>
      </c>
      <c r="M12" s="59">
        <f t="shared" si="0"/>
        <v>7.1999712001151993E-4</v>
      </c>
      <c r="N12" s="15">
        <f>IF(M12&lt;$F$3,(1/(4*$F$2^2)*(COS($F$2)+$F$2*SIN($F$3)-COS(M12)-M12*SIN(M12))*SIN($F$8)+1/(4*$F$2)*(COS(M12)-COS($F$3))*TAN($I$10))*(Interface!$F$17*Interface!$F$11^2),(1/(4*Background!$F$2^2)*(COS(Background!$F$2)-COS(Background!M12)+(Background!$F$2-Background!M12)*SIN(Background!M12))*SIN(Background!$F$8))*(Interface!$F$17*Interface!$F$11^2))</f>
        <v>10.766482259654396</v>
      </c>
      <c r="O12" s="15">
        <f>IF(M12&lt;$F$3,(1/(4*$F$2^2)*($C$3*SIN(M12)-M12*COS($F$8)))*(Interface!$F$17*Interface!$F$11^2),(1/(4*$F$2^2)*($F$2-M12-SIN($F$2-M12))*COS($F$8))*(Interface!$F$17*Interface!$F$11^2))</f>
        <v>0.82696516363950223</v>
      </c>
      <c r="P12" s="15">
        <f>IF(M12&lt;$F$3,(1/(4*$F$2^2)*(COS($F$8)-$C$3*COS(M12)))*(Interface!$F$17*Interface!$F$11^2),(1/(4*$F$2^2)*(1-COS($F$2-M12))*COS($F$8))*(Interface!$F$17*Interface!$F$11^2))</f>
        <v>-1084.7946473463546</v>
      </c>
      <c r="Q12" s="15">
        <f>IF(M12&lt;$F$3,(1/(64*$F$2^4*$I$4)*((-4*$C$4+3*M12*SIN(M12)+($C$5-M12^2)*COS(M12))*SIN($F$8)+(4*$F$2*COS($F$3)-2*$F$2*M12*SIN(M12)+$C$6*COS(M12))*TAN($I$10)))*Interface!$F$11,(1/(64*$F$2^4*$I$4)*((4*(COS(M12)*1/COS($F$3)-1)*COS($F$2)+($C$7+3*M12)*SIN(M12)+($F$3-M12)*($C$8+M12)*COS(M12)-$C$9*COS(M12))*SIN($F$8)+$C$10*SIN($F$3-M12)*TAN($I$10)))*Interface!$F$11)</f>
        <v>4.9136614337872064E-3</v>
      </c>
      <c r="R12" s="15">
        <f>IF(M12&lt;$F$3,(1/(32*$F$2^4*$I$3*$I$5)*($C$21-$I$5*M12^2*COS($F$8)+$C$22*COS(M12)+$C$23*M12*SIN(M12)))*Interface!$F$11,(1/(64*$F$2^4*$I$3*$I$5)*($C$24+2*$F$2*$C$25*M12-$C$25*M12^2+$C$26*SIN(M12)+$C$27*COS(M12)+$C$28*M12*SIN(M12)+$C$29*M12*COS(M12)))*Interface!$F$11)</f>
        <v>1.9800383552763156E-2</v>
      </c>
      <c r="S12" s="60">
        <f t="shared" si="1"/>
        <v>-3.2726028322820223E-3</v>
      </c>
    </row>
    <row r="13" spans="2:19" ht="16.5" thickBot="1">
      <c r="B13" s="16" t="s">
        <v>21</v>
      </c>
      <c r="C13" s="17">
        <f>-21*F2+4*F2*(F2^2-3*F2*F3+3*F3^2)+24*F2*COS(F2)*(COS(F3))^-1+24*(COS(F2))^2*SIN(F2)*(COS(F3))^-1+3*((F2-F3)^2-6)*SIN(2*F2)+3*(2*F2*(3*F2-2*F3)+3*(F2-F3)*SIN(2*F2))*TAN(F3)-3*F2*(COS(2*F2)-4+(2*F2-2*F3+SIN(2*F2))*TAN(F3))*COS(2*F3)</f>
        <v>6.7064409581263362E-13</v>
      </c>
      <c r="D13" s="15"/>
      <c r="E13" s="157" t="s">
        <v>55</v>
      </c>
      <c r="F13" s="158"/>
      <c r="G13" s="159" t="s">
        <v>56</v>
      </c>
      <c r="H13" s="160"/>
      <c r="K13" s="65">
        <v>10</v>
      </c>
      <c r="L13" s="15">
        <f>K13*Interface!$F$11/100</f>
        <v>4.5720000000000001</v>
      </c>
      <c r="M13" s="59">
        <f t="shared" si="0"/>
        <v>7.9999680001279991E-4</v>
      </c>
      <c r="N13" s="15">
        <f>IF(M13&lt;$F$3,(1/(4*$F$2^2)*(COS($F$2)+$F$2*SIN($F$3)-COS(M13)-M13*SIN(M13))*SIN($F$8)+1/(4*$F$2)*(COS(M13)-COS($F$3))*TAN($I$10))*(Interface!$F$17*Interface!$F$11^2),(1/(4*Background!$F$2^2)*(COS(Background!$F$2)-COS(Background!M13)+(Background!$F$2-Background!M13)*SIN(Background!M13))*SIN(Background!$F$8))*(Interface!$F$17*Interface!$F$11^2))</f>
        <v>10.543782808237662</v>
      </c>
      <c r="O13" s="15">
        <f>IF(M13&lt;$F$3,(1/(4*$F$2^2)*($C$3*SIN(M13)-M13*COS($F$8)))*(Interface!$F$17*Interface!$F$11^2),(1/(4*$F$2^2)*($F$2-M13-SIN($F$2-M13))*COS($F$8))*(Interface!$F$17*Interface!$F$11^2))</f>
        <v>0.912866596896449</v>
      </c>
      <c r="P13" s="15">
        <f>IF(M13&lt;$F$3,(1/(4*$F$2^2)*(COS($F$8)-$C$3*COS(M13)))*(Interface!$F$17*Interface!$F$11^2),(1/(4*$F$2^2)*(1-COS($F$2-M13))*COS($F$8))*(Interface!$F$17*Interface!$F$11^2))</f>
        <v>-1062.3561147991977</v>
      </c>
      <c r="Q13" s="15">
        <f>IF(M13&lt;$F$3,(1/(64*$F$2^4*$I$4)*((-4*$C$4+3*M13*SIN(M13)+($C$5-M13^2)*COS(M13))*SIN($F$8)+(4*$F$2*COS($F$3)-2*$F$2*M13*SIN(M13)+$C$6*COS(M13))*TAN($I$10)))*Interface!$F$11,(1/(64*$F$2^4*$I$4)*((4*(COS(M13)*1/COS($F$3)-1)*COS($F$2)+($C$7+3*M13)*SIN(M13)+($F$3-M13)*($C$8+M13)*COS(M13)-$C$9*COS(M13))*SIN($F$8)+$C$10*SIN($F$3-M13)*TAN($I$10)))*Interface!$F$11)</f>
        <v>4.8123930435459749E-3</v>
      </c>
      <c r="R13" s="15">
        <f>IF(M13&lt;$F$3,(1/(32*$F$2^4*$I$3*$I$5)*($C$21-$I$5*M13^2*COS($F$8)+$C$22*COS(M13)+$C$23*M13*SIN(M13)))*Interface!$F$11,(1/(64*$F$2^4*$I$3*$I$5)*($C$24+2*$F$2*$C$25*M13-$C$25*M13^2+$C$26*SIN(M13)+$C$27*COS(M13)+$C$28*M13*SIN(M13)+$C$29*M13*COS(M13)))*Interface!$F$11)</f>
        <v>1.9389880695816677E-2</v>
      </c>
      <c r="S13" s="60">
        <f t="shared" si="1"/>
        <v>-3.2052107351454519E-3</v>
      </c>
    </row>
    <row r="14" spans="2:19" ht="18.75">
      <c r="B14" s="16" t="s">
        <v>22</v>
      </c>
      <c r="C14" s="17">
        <f>(F2-F3)*COS(3*F3)-(F2+7*F3)*COS(F3)+4*(1+F2*F3+COS(2*F3))*SIN(F3)+(2*F3-SIN(2*F3))*COS(2*F2-F3)</f>
        <v>2.8260451853440233E-13</v>
      </c>
      <c r="D14" s="15"/>
      <c r="E14" s="37" t="s">
        <v>63</v>
      </c>
      <c r="F14" s="72">
        <f>1/(2*F2)*(F5*SIN(F5)*SIN(F8)-F2*COS(F5)*TAN(Interface!F19))</f>
        <v>0</v>
      </c>
      <c r="G14" s="37" t="s">
        <v>63</v>
      </c>
      <c r="H14" s="74">
        <f>1/(2*F2)*(F5-F2)*SIN(F5)*SIN(F8)</f>
        <v>0</v>
      </c>
      <c r="K14" s="65">
        <v>11</v>
      </c>
      <c r="L14" s="15">
        <f>K14*Interface!$F$11/100</f>
        <v>5.0291999999999994</v>
      </c>
      <c r="M14" s="59">
        <f t="shared" si="0"/>
        <v>8.7999648001407989E-4</v>
      </c>
      <c r="N14" s="15">
        <f>IF(M14&lt;$F$3,(1/(4*$F$2^2)*(COS($F$2)+$F$2*SIN($F$3)-COS(M14)-M14*SIN(M14))*SIN($F$8)+1/(4*$F$2)*(COS(M14)-COS($F$3))*TAN($I$10))*(Interface!$F$17*Interface!$F$11^2),(1/(4*Background!$F$2^2)*(COS(Background!$F$2)-COS(Background!M14)+(Background!$F$2-Background!M14)*SIN(Background!M14))*SIN(Background!$F$8))*(Interface!$F$17*Interface!$F$11^2))</f>
        <v>10.297641324806705</v>
      </c>
      <c r="O14" s="15">
        <f>IF(M14&lt;$F$3,(1/(4*$F$2^2)*($C$3*SIN(M14)-M14*COS($F$8)))*(Interface!$F$17*Interface!$F$11^2),(1/(4*$F$2^2)*($F$2-M14-SIN($F$2-M14))*COS($F$8))*(Interface!$F$17*Interface!$F$11^2))</f>
        <v>0.99687847703736843</v>
      </c>
      <c r="P14" s="15">
        <f>IF(M14&lt;$F$3,(1/(4*$F$2^2)*(COS($F$8)-$C$3*COS(M14)))*(Interface!$F$17*Interface!$F$11^2),(1/(4*$F$2^2)*(1-COS($F$2-M14))*COS($F$8))*(Interface!$F$17*Interface!$F$11^2))</f>
        <v>-1037.5556320312608</v>
      </c>
      <c r="Q14" s="15">
        <f>IF(M14&lt;$F$3,(1/(64*$F$2^4*$I$4)*((-4*$C$4+3*M14*SIN(M14)+($C$5-M14^2)*COS(M14))*SIN($F$8)+(4*$F$2*COS($F$3)-2*$F$2*M14*SIN(M14)+$C$6*COS(M14))*TAN($I$10)))*Interface!$F$11,(1/(64*$F$2^4*$I$4)*((4*(COS(M14)*1/COS($F$3)-1)*COS($F$2)+($C$7+3*M14)*SIN(M14)+($F$3-M14)*($C$8+M14)*COS(M14)-$C$9*COS(M14))*SIN($F$8)+$C$10*SIN($F$3-M14)*TAN($I$10)))*Interface!$F$11)</f>
        <v>4.7013552321285299E-3</v>
      </c>
      <c r="R14" s="15">
        <f>IF(M14&lt;$F$3,(1/(32*$F$2^4*$I$3*$I$5)*($C$21-$I$5*M14^2*COS($F$8)+$C$22*COS(M14)+$C$23*M14*SIN(M14)))*Interface!$F$11,(1/(64*$F$2^4*$I$3*$I$5)*($C$24+2*$F$2*$C$25*M14-$C$25*M14^2+$C$26*SIN(M14)+$C$27*COS(M14)+$C$28*M14*SIN(M14)+$C$29*M14*COS(M14)))*Interface!$F$11)</f>
        <v>1.8932222115896465E-2</v>
      </c>
      <c r="S14" s="60">
        <f t="shared" si="1"/>
        <v>-3.1312105795992485E-3</v>
      </c>
    </row>
    <row r="15" spans="2:19" ht="18.75">
      <c r="B15" s="16" t="s">
        <v>23</v>
      </c>
      <c r="C15" s="17">
        <f>2*COS(F8)*1/COS(F3)-C3*F3*TAN(F3)</f>
        <v>1.999901503603031</v>
      </c>
      <c r="D15" s="15"/>
      <c r="E15" s="37" t="s">
        <v>64</v>
      </c>
      <c r="F15" s="72">
        <f>-1/(2*F2)*F5*COS(F8)</f>
        <v>0</v>
      </c>
      <c r="G15" s="37" t="s">
        <v>64</v>
      </c>
      <c r="H15" s="72">
        <f>1/(2*F2)*(F2-F5)*COS(F8)</f>
        <v>0.4999753759057452</v>
      </c>
      <c r="K15" s="65">
        <v>12</v>
      </c>
      <c r="L15" s="15">
        <f>K15*Interface!$F$11/100</f>
        <v>5.4863999999999997</v>
      </c>
      <c r="M15" s="59">
        <f t="shared" si="0"/>
        <v>9.5999616001535986E-4</v>
      </c>
      <c r="N15" s="15">
        <f>IF(M15&lt;$F$3,(1/(4*$F$2^2)*(COS($F$2)+$F$2*SIN($F$3)-COS(M15)-M15*SIN(M15))*SIN($F$8)+1/(4*$F$2)*(COS(M15)-COS($F$3))*TAN($I$10))*(Interface!$F$17*Interface!$F$11^2),(1/(4*Background!$F$2^2)*(COS(Background!$F$2)-COS(Background!M15)+(Background!$F$2-Background!M15)*SIN(Background!M15))*SIN(Background!$F$8))*(Interface!$F$17*Interface!$F$11^2))</f>
        <v>10.028057814442718</v>
      </c>
      <c r="O15" s="15">
        <f>IF(M15&lt;$F$3,(1/(4*$F$2^2)*($C$3*SIN(M15)-M15*COS($F$8)))*(Interface!$F$17*Interface!$F$11^2),(1/(4*$F$2^2)*($F$2-M15-SIN($F$2-M15))*COS($F$8))*(Interface!$F$17*Interface!$F$11^2))</f>
        <v>1.0788118489107184</v>
      </c>
      <c r="P15" s="15">
        <f>IF(M15&lt;$F$3,(1/(4*$F$2^2)*(COS($F$8)-$C$3*COS(M15)))*(Interface!$F$17*Interface!$F$11^2),(1/(4*$F$2^2)*(1-COS($F$2-M15))*COS($F$8))*(Interface!$F$17*Interface!$F$11^2))</f>
        <v>-1010.3931991654699</v>
      </c>
      <c r="Q15" s="15">
        <f>IF(M15&lt;$F$3,(1/(64*$F$2^4*$I$4)*((-4*$C$4+3*M15*SIN(M15)+($C$5-M15^2)*COS(M15))*SIN($F$8)+(4*$F$2*COS($F$3)-2*$F$2*M15*SIN(M15)+$C$6*COS(M15))*TAN($I$10)))*Interface!$F$11,(1/(64*$F$2^4*$I$4)*((4*(COS(M15)*1/COS($F$3)-1)*COS($F$2)+($C$7+3*M15)*SIN(M15)+($F$3-M15)*($C$8+M15)*COS(M15)-$C$9*COS(M15))*SIN($F$8)+$C$10*SIN($F$3-M15)*TAN($I$10)))*Interface!$F$11)</f>
        <v>4.5805479995348723E-3</v>
      </c>
      <c r="R15" s="15">
        <f>IF(M15&lt;$F$3,(1/(32*$F$2^4*$I$3*$I$5)*($C$21-$I$5*M15^2*COS($F$8)+$C$22*COS(M15)+$C$23*M15*SIN(M15)))*Interface!$F$11,(1/(64*$F$2^4*$I$3*$I$5)*($C$24+2*$F$2*$C$25*M15-$C$25*M15^2+$C$26*SIN(M15)+$C$27*COS(M15)+$C$28*M15*SIN(M15)+$C$29*M15*COS(M15)))*Interface!$F$11)</f>
        <v>1.844654392959303E-2</v>
      </c>
      <c r="S15" s="60">
        <f t="shared" si="1"/>
        <v>-3.0507907206418351E-3</v>
      </c>
    </row>
    <row r="16" spans="2:19" ht="18.75">
      <c r="B16" s="16" t="s">
        <v>24</v>
      </c>
      <c r="C16" s="17">
        <f>-8*(I3+I5)*COS(F8)</f>
        <v>-43.954606238106756</v>
      </c>
      <c r="D16" s="15"/>
      <c r="E16" s="37" t="s">
        <v>65</v>
      </c>
      <c r="F16" s="72">
        <f>-1/(2*F2)*(F5*COS(F5)*SIN(F8)+F2*SIN(F5)*TAN(Interface!F19))</f>
        <v>0</v>
      </c>
      <c r="G16" s="37" t="s">
        <v>65</v>
      </c>
      <c r="H16" s="72">
        <f>1/(2*F2)*(F2-F5)*COS(F5)*SIN(F8)</f>
        <v>4.9622059518733518E-3</v>
      </c>
      <c r="J16" s="18"/>
      <c r="K16" s="65">
        <v>13</v>
      </c>
      <c r="L16" s="15">
        <f>K16*Interface!$F$11/100</f>
        <v>5.9436</v>
      </c>
      <c r="M16" s="59">
        <f t="shared" si="0"/>
        <v>1.03999584001664E-3</v>
      </c>
      <c r="N16" s="15">
        <f>IF(M16&lt;$F$3,(1/(4*$F$2^2)*(COS($F$2)+$F$2*SIN($F$3)-COS(M16)-M16*SIN(M16))*SIN($F$8)+1/(4*$F$2)*(COS(M16)-COS($F$3))*TAN($I$10))*(Interface!$F$17*Interface!$F$11^2),(1/(4*Background!$F$2^2)*(COS(Background!$F$2)-COS(Background!M16)+(Background!$F$2-Background!M16)*SIN(Background!M16))*SIN(Background!$F$8))*(Interface!$F$17*Interface!$F$11^2))</f>
        <v>9.7350322820136963</v>
      </c>
      <c r="O16" s="15">
        <f>IF(M16&lt;$F$3,(1/(4*$F$2^2)*($C$3*SIN(M16)-M16*COS($F$8)))*(Interface!$F$17*Interface!$F$11^2),(1/(4*$F$2^2)*($F$2-M16-SIN($F$2-M16))*COS($F$8))*(Interface!$F$17*Interface!$F$11^2))</f>
        <v>1.1584777571648808</v>
      </c>
      <c r="P16" s="15">
        <f>IF(M16&lt;$F$3,(1/(4*$F$2^2)*(COS($F$8)-$C$3*COS(M16)))*(Interface!$F$17*Interface!$F$11^2),(1/(4*$F$2^2)*(1-COS($F$2-M16))*COS($F$8))*(Interface!$F$17*Interface!$F$11^2))</f>
        <v>-980.86881636572798</v>
      </c>
      <c r="Q16" s="15">
        <f>IF(M16&lt;$F$3,(1/(64*$F$2^4*$I$4)*((-4*$C$4+3*M16*SIN(M16)+($C$5-M16^2)*COS(M16))*SIN($F$8)+(4*$F$2*COS($F$3)-2*$F$2*M16*SIN(M16)+$C$6*COS(M16))*TAN($I$10)))*Interface!$F$11,(1/(64*$F$2^4*$I$4)*((4*(COS(M16)*1/COS($F$3)-1)*COS($F$2)+($C$7+3*M16)*SIN(M16)+($F$3-M16)*($C$8+M16)*COS(M16)-$C$9*COS(M16))*SIN($F$8)+$C$10*SIN($F$3-M16)*TAN($I$10)))*Interface!$F$11)</f>
        <v>4.4505670421781853E-3</v>
      </c>
      <c r="R16" s="15">
        <f>IF(M16&lt;$F$3,(1/(32*$F$2^4*$I$3*$I$5)*($C$21-$I$5*M16^2*COS($F$8)+$C$22*COS(M16)+$C$23*M16*SIN(M16)))*Interface!$F$11,(1/(64*$F$2^4*$I$3*$I$5)*($C$24+2*$F$2*$C$25*M16-$C$25*M16^2+$C$26*SIN(M16)+$C$27*COS(M16)+$C$28*M16*SIN(M16)+$C$29*M16*COS(M16)))*Interface!$F$11)</f>
        <v>1.7920328691841344E-2</v>
      </c>
      <c r="S16" s="60">
        <f t="shared" si="1"/>
        <v>-2.9640894332506268E-3</v>
      </c>
    </row>
    <row r="17" spans="2:19" ht="18.75">
      <c r="B17" s="16" t="s">
        <v>25</v>
      </c>
      <c r="C17" s="17">
        <f>2*((2*(I3+I5)*F3+(I3-I5)*SIN(2*F3))*(C3-COS(F2)*COS(F8))+2*(2*I5*F2+(I3-I5)*SIN(F2)*COS(F3))*COS(F3)*COS(F8))</f>
        <v>8.7909108621078702E-2</v>
      </c>
      <c r="D17" s="15"/>
      <c r="E17" s="37" t="s">
        <v>66</v>
      </c>
      <c r="F17" s="72">
        <f>1/(4*F2^2)*(C3*SIN(F5)-F5*COS(F8))+(I9/2)*((1/TAN(F3)+TAN(I10)*1/SIN(F8))*COS(F3)-1/SIN(F3))*COS(F8)*SIN(F5)</f>
        <v>0</v>
      </c>
      <c r="G17" s="37" t="s">
        <v>66</v>
      </c>
      <c r="H17" s="72">
        <f>1/(4*F2^2)*(F2-F5-SIN(F2-F5))*COS(F8)</f>
        <v>1.6665765868386953E-4</v>
      </c>
      <c r="I17" s="18"/>
      <c r="J17" s="18"/>
      <c r="K17" s="65">
        <v>14</v>
      </c>
      <c r="L17" s="15">
        <f>K17*Interface!$F$11/100</f>
        <v>6.4007999999999994</v>
      </c>
      <c r="M17" s="59">
        <f t="shared" si="0"/>
        <v>1.1199955200179197E-3</v>
      </c>
      <c r="N17" s="15">
        <f>IF(M17&lt;$F$3,(1/(4*$F$2^2)*(COS($F$2)+$F$2*SIN($F$3)-COS(M17)-M17*SIN(M17))*SIN($F$8)+1/(4*$F$2)*(COS(M17)-COS($F$3))*TAN($I$10))*(Interface!$F$17*Interface!$F$11^2),(1/(4*Background!$F$2^2)*(COS(Background!$F$2)-COS(Background!M17)+(Background!$F$2-Background!M17)*SIN(Background!M17))*SIN(Background!$F$8))*(Interface!$F$17*Interface!$F$11^2))</f>
        <v>9.4185647338010678</v>
      </c>
      <c r="O17" s="15">
        <f>IF(M17&lt;$F$3,(1/(4*$F$2^2)*($C$3*SIN(M17)-M17*COS($F$8)))*(Interface!$F$17*Interface!$F$11^2),(1/(4*$F$2^2)*($F$2-M17-SIN($F$2-M17))*COS($F$8))*(Interface!$F$17*Interface!$F$11^2))</f>
        <v>1.2356872467283442</v>
      </c>
      <c r="P17" s="15">
        <f>IF(M17&lt;$F$3,(1/(4*$F$2^2)*(COS($F$8)-$C$3*COS(M17)))*(Interface!$F$17*Interface!$F$11^2),(1/(4*$F$2^2)*(1-COS($F$2-M17))*COS($F$8))*(Interface!$F$17*Interface!$F$11^2))</f>
        <v>-948.98248379593667</v>
      </c>
      <c r="Q17" s="15">
        <f>IF(M17&lt;$F$3,(1/(64*$F$2^4*$I$4)*((-4*$C$4+3*M17*SIN(M17)+($C$5-M17^2)*COS(M17))*SIN($F$8)+(4*$F$2*COS($F$3)-2*$F$2*M17*SIN(M17)+$C$6*COS(M17))*TAN($I$10)))*Interface!$F$11,(1/(64*$F$2^4*$I$4)*((4*(COS(M17)*1/COS($F$3)-1)*COS($F$2)+($C$7+3*M17)*SIN(M17)+($F$3-M17)*($C$8+M17)*COS(M17)-$C$9*COS(M17))*SIN($F$8)+$C$10*SIN($F$3-M17)*TAN($I$10)))*Interface!$F$11)</f>
        <v>4.3111740814931951E-3</v>
      </c>
      <c r="R17" s="15">
        <f>IF(M17&lt;$F$3,(1/(32*$F$2^4*$I$3*$I$5)*($C$21-$I$5*M17^2*COS($F$8)+$C$22*COS(M17)+$C$23*M17*SIN(M17)))*Interface!$F$11,(1/(64*$F$2^4*$I$3*$I$5)*($C$24+2*$F$2*$C$25*M17-$C$25*M17^2+$C$26*SIN(M17)+$C$27*COS(M17)+$C$28*M17*SIN(M17)+$C$29*M17*COS(M17)))*Interface!$F$11)</f>
        <v>1.7367028115809448E-2</v>
      </c>
      <c r="S17" s="60">
        <f t="shared" si="1"/>
        <v>-2.871393300234545E-3</v>
      </c>
    </row>
    <row r="18" spans="2:19" ht="18.75">
      <c r="B18" s="16" t="s">
        <v>26</v>
      </c>
      <c r="C18" s="17">
        <f>2*((I3-I5)*(COS(F2)-COS(F2-2*F3))+2*(I3+I5)*(2*1/COS(F3)+F3*SIN(F2))-4*I5*F2*SIN(F3))*COS(F8)-2*C3*(2*(I3+I5)*F3+(I3-I5)*SIN(2*F3))*TAN(F3)</f>
        <v>43.95460623760431</v>
      </c>
      <c r="D18" s="15"/>
      <c r="E18" s="37" t="s">
        <v>67</v>
      </c>
      <c r="F18" s="72">
        <f>1/(4*F2^2)*(COS(F2)+F2*SIN(F3)-COS(F5)-F5*SIN(F5))*SIN(F8)+1/(4*F2)*(COS(F5)-COS(F3))*TAN(Interface!F19)+(I9/2)*(COS(F3)*TAN(I10)-SIN(F8)*SIN(F3))</f>
        <v>4.9600291135880521E-4</v>
      </c>
      <c r="G18" s="37" t="s">
        <v>67</v>
      </c>
      <c r="H18" s="72">
        <f>1/(4*F2^2)*(COS(F2)-COS(F5)+(F2-F5)*SIN(F5))*SIN(F8)</f>
        <v>-1.2405498339063854E-3</v>
      </c>
      <c r="I18" s="18"/>
      <c r="J18" s="18"/>
      <c r="K18" s="65">
        <v>15</v>
      </c>
      <c r="L18" s="15">
        <f>K18*Interface!$F$11/100</f>
        <v>6.8579999999999997</v>
      </c>
      <c r="M18" s="59">
        <f t="shared" si="0"/>
        <v>1.1999952000191999E-3</v>
      </c>
      <c r="N18" s="15">
        <f>IF(M18&lt;$F$3,(1/(4*$F$2^2)*(COS($F$2)+$F$2*SIN($F$3)-COS(M18)-M18*SIN(M18))*SIN($F$8)+1/(4*$F$2)*(COS(M18)-COS($F$3))*TAN($I$10))*(Interface!$F$17*Interface!$F$11^2),(1/(4*Background!$F$2^2)*(COS(Background!$F$2)-COS(Background!M18)+(Background!$F$2-Background!M18)*SIN(Background!M18))*SIN(Background!$F$8))*(Interface!$F$17*Interface!$F$11^2))</f>
        <v>9.0786551750597209</v>
      </c>
      <c r="O18" s="15">
        <f>IF(M18&lt;$F$3,(1/(4*$F$2^2)*($C$3*SIN(M18)-M18*COS($F$8)))*(Interface!$F$17*Interface!$F$11^2),(1/(4*$F$2^2)*($F$2-M18-SIN($F$2-M18))*COS($F$8))*(Interface!$F$17*Interface!$F$11^2))</f>
        <v>1.31025136216946</v>
      </c>
      <c r="P18" s="15">
        <f>IF(M18&lt;$F$3,(1/(4*$F$2^2)*(COS($F$8)-$C$3*COS(M18)))*(Interface!$F$17*Interface!$F$11^2),(1/(4*$F$2^2)*(1-COS($F$2-M18))*COS($F$8))*(Interface!$F$17*Interface!$F$11^2))</f>
        <v>-914.73420170194947</v>
      </c>
      <c r="Q18" s="15">
        <f>IF(M18&lt;$F$3,(1/(64*$F$2^4*$I$4)*((-4*$C$4+3*M18*SIN(M18)+($C$5-M18^2)*COS(M18))*SIN($F$8)+(4*$F$2*COS($F$3)-2*$F$2*M18*SIN(M18)+$C$6*COS(M18))*TAN($I$10)))*Interface!$F$11,(1/(64*$F$2^4*$I$4)*((4*(COS(M18)*1/COS($F$3)-1)*COS($F$2)+($C$7+3*M18)*SIN(M18)+($F$3-M18)*($C$8+M18)*COS(M18)-$C$9*COS(M18))*SIN($F$8)+$C$10*SIN($F$3-M18)*TAN($I$10)))*Interface!$F$11)</f>
        <v>4.1630839531757238E-3</v>
      </c>
      <c r="R18" s="15">
        <f>IF(M18&lt;$F$3,(1/(32*$F$2^4*$I$3*$I$5)*($C$21-$I$5*M18^2*COS($F$8)+$C$22*COS(M18)+$C$23*M18*SIN(M18)))*Interface!$F$11,(1/(64*$F$2^4*$I$3*$I$5)*($C$24+2*$F$2*$C$25*M18-$C$25*M18^2+$C$26*SIN(M18)+$C$27*COS(M18)+$C$28*M18*SIN(M18)+$C$29*M18*COS(M18)))*Interface!$F$11)</f>
        <v>1.6768440288439691E-2</v>
      </c>
      <c r="S18" s="60">
        <f t="shared" si="1"/>
        <v>-2.7727404361505953E-3</v>
      </c>
    </row>
    <row r="19" spans="2:19" ht="18.75">
      <c r="B19" s="16" t="s">
        <v>27</v>
      </c>
      <c r="C19" s="17">
        <f>4*(I3+I5)*COS(F2)*COS(F8)</f>
        <v>21.977127302269388</v>
      </c>
      <c r="D19" s="15"/>
      <c r="E19" s="37" t="s">
        <v>68</v>
      </c>
      <c r="F19" s="72">
        <f>1/(4*F2^2)*(COS(F8)-C3*COS(F5))+(I9/2)*(COS(F8)*SIN(F3)-TAN(I10)*COS(F3)*(1/TAN(F8)))*COS(F5)</f>
        <v>-4.997560449223766E-2</v>
      </c>
      <c r="G19" s="37" t="s">
        <v>68</v>
      </c>
      <c r="H19" s="72">
        <f>1/(4*F2^2)*(1-COS(F2-F5))*COS(F8)</f>
        <v>0.12499367731865255</v>
      </c>
      <c r="J19" s="18"/>
      <c r="K19" s="65">
        <v>16</v>
      </c>
      <c r="L19" s="15">
        <f>K19*Interface!$F$11/100</f>
        <v>7.3151999999999999</v>
      </c>
      <c r="M19" s="59">
        <f t="shared" si="0"/>
        <v>1.2799948800204799E-3</v>
      </c>
      <c r="N19" s="15">
        <f>IF(M19&lt;$F$3,(1/(4*$F$2^2)*(COS($F$2)+$F$2*SIN($F$3)-COS(M19)-M19*SIN(M19))*SIN($F$8)+1/(4*$F$2)*(COS(M19)-COS($F$3))*TAN($I$10))*(Interface!$F$17*Interface!$F$11^2),(1/(4*Background!$F$2^2)*(COS(Background!$F$2)-COS(Background!M19)+(Background!$F$2-Background!M19)*SIN(Background!M19))*SIN(Background!$F$8))*(Interface!$F$17*Interface!$F$11^2))</f>
        <v>8.7153036128646502</v>
      </c>
      <c r="O19" s="15">
        <f>IF(M19&lt;$F$3,(1/(4*$F$2^2)*($C$3*SIN(M19)-M19*COS($F$8)))*(Interface!$F$17*Interface!$F$11^2),(1/(4*$F$2^2)*($F$2-M19-SIN($F$2-M19))*COS($F$8))*(Interface!$F$17*Interface!$F$11^2))</f>
        <v>1.3819811484167166</v>
      </c>
      <c r="P19" s="15">
        <f>IF(M19&lt;$F$3,(1/(4*$F$2^2)*(COS($F$8)-$C$3*COS(M19)))*(Interface!$F$17*Interface!$F$11^2),(1/(4*$F$2^2)*(1-COS($F$2-M19))*COS($F$8))*(Interface!$F$17*Interface!$F$11^2))</f>
        <v>-878.12397028864382</v>
      </c>
      <c r="Q19" s="15">
        <f>IF(M19&lt;$F$3,(1/(64*$F$2^4*$I$4)*((-4*$C$4+3*M19*SIN(M19)+($C$5-M19^2)*COS(M19))*SIN($F$8)+(4*$F$2*COS($F$3)-2*$F$2*M19*SIN(M19)+$C$6*COS(M19))*TAN($I$10)))*Interface!$F$11,(1/(64*$F$2^4*$I$4)*((4*(COS(M19)*1/COS($F$3)-1)*COS($F$2)+($C$7+3*M19)*SIN(M19)+($F$3-M19)*($C$8+M19)*COS(M19)-$C$9*COS(M19))*SIN($F$8)+$C$10*SIN($F$3-M19)*TAN($I$10)))*Interface!$F$11)</f>
        <v>4.0065349357910427E-3</v>
      </c>
      <c r="R19" s="15">
        <f>IF(M19&lt;$F$3,(1/(32*$F$2^4*$I$3*$I$5)*($C$21-$I$5*M19^2*COS($F$8)+$C$22*COS(M19)+$C$23*M19*SIN(M19)))*Interface!$F$11,(1/(64*$F$2^4*$I$3*$I$5)*($C$24+2*$F$2*$C$25*M19-$C$25*M19^2+$C$26*SIN(M19)+$C$27*COS(M19)+$C$28*M19*SIN(M19)+$C$29*M19*COS(M19)))*Interface!$F$11)</f>
        <v>1.613233252772063E-2</v>
      </c>
      <c r="S19" s="60">
        <f t="shared" si="1"/>
        <v>-2.668436296287993E-3</v>
      </c>
    </row>
    <row r="20" spans="2:19">
      <c r="B20" s="16" t="s">
        <v>28</v>
      </c>
      <c r="C20" s="17">
        <f>-4*(I3+I5)*SIN(F2)*COS(F8)</f>
        <v>-8.7908626419204161E-2</v>
      </c>
      <c r="D20" s="15"/>
      <c r="E20" s="37" t="s">
        <v>41</v>
      </c>
      <c r="F20" s="72">
        <f>1/(64*F2^4*I4)*((-4*C4+3*F5*SIN(F5)+(C5-F5^2)*COS(F5))*SIN(F8)+(4*F2*COS(F3)-2*F2*F5*SIN(F5)+C6*COS(F5))*TAN(Interface!F19))+I9/(32*F2^4*I4)*(COS(F5)-COS(F3))*(TAN(I10)-SIN(F8)*TAN(F3))</f>
        <v>1.1707024085166957E-4</v>
      </c>
      <c r="G20" s="37" t="s">
        <v>41</v>
      </c>
      <c r="H20" s="72">
        <f>1/(64*F2^4*I4)*((4*(COS(F5)*1/COS(F3)-1)*COS(F2)+(C7+3*F5)*SIN(F5)+(F3-F5)*(C8+F5)*COS(F5)-C9*COS(F5))*SIN(F8)+C10*SIN(F3-F5)*TAN(Interface!F19))+I9/(32*F2^4*I4)*SIN(F3)*SIN(F3-F5)*(TAN(I10)-SIN(F8)*TAN(F3))</f>
        <v>2.8874942577668538E-4</v>
      </c>
      <c r="J20" s="18"/>
      <c r="K20" s="65">
        <v>17</v>
      </c>
      <c r="L20" s="15">
        <f>K20*Interface!$F$11/100</f>
        <v>7.7724000000000002</v>
      </c>
      <c r="M20" s="59">
        <f t="shared" si="0"/>
        <v>1.3599945600217599E-3</v>
      </c>
      <c r="N20" s="15">
        <f>IF(M20&lt;$F$3,(1/(4*$F$2^2)*(COS($F$2)+$F$2*SIN($F$3)-COS(M20)-M20*SIN(M20))*SIN($F$8)+1/(4*$F$2)*(COS(M20)-COS($F$3))*TAN($I$10))*(Interface!$F$17*Interface!$F$11^2),(1/(4*Background!$F$2^2)*(COS(Background!$F$2)-COS(Background!M20)+(Background!$F$2-Background!M20)*SIN(Background!M20))*SIN(Background!$F$8))*(Interface!$F$17*Interface!$F$11^2))</f>
        <v>8.3285100536709766</v>
      </c>
      <c r="O20" s="15">
        <f>IF(M20&lt;$F$3,(1/(4*$F$2^2)*($C$3*SIN(M20)-M20*COS($F$8)))*(Interface!$F$17*Interface!$F$11^2),(1/(4*$F$2^2)*($F$2-M20-SIN($F$2-M20))*COS($F$8))*(Interface!$F$17*Interface!$F$11^2))</f>
        <v>1.4506876503986024</v>
      </c>
      <c r="P20" s="15">
        <f>IF(M20&lt;$F$3,(1/(4*$F$2^2)*(COS($F$8)-$C$3*COS(M20)))*(Interface!$F$17*Interface!$F$11^2),(1/(4*$F$2^2)*(1-COS($F$2-M20))*COS($F$8))*(Interface!$F$17*Interface!$F$11^2))</f>
        <v>-839.15178980187306</v>
      </c>
      <c r="Q20" s="15">
        <f>IF(M20&lt;$F$3,(1/(64*$F$2^4*$I$4)*((-4*$C$4+3*M20*SIN(M20)+($C$5-M20^2)*COS(M20))*SIN($F$8)+(4*$F$2*COS($F$3)-2*$F$2*M20*SIN(M20)+$C$6*COS(M20))*TAN($I$10)))*Interface!$F$11,(1/(64*$F$2^4*$I$4)*((4*(COS(M20)*1/COS($F$3)-1)*COS($F$2)+($C$7+3*M20)*SIN(M20)+($F$3-M20)*($C$8+M20)*COS(M20)-$C$9*COS(M20))*SIN($F$8)+$C$10*SIN($F$3-M20)*TAN($I$10)))*Interface!$F$11)</f>
        <v>3.8417653079044268E-3</v>
      </c>
      <c r="R20" s="15">
        <f>IF(M20&lt;$F$3,(1/(32*$F$2^4*$I$3*$I$5)*($C$21-$I$5*M20^2*COS($F$8)+$C$22*COS(M20)+$C$23*M20*SIN(M20)))*Interface!$F$11,(1/(64*$F$2^4*$I$3*$I$5)*($C$24+2*$F$2*$C$25*M20-$C$25*M20^2+$C$26*SIN(M20)+$C$27*COS(M20)+$C$28*M20*SIN(M20)+$C$29*M20*COS(M20)))*Interface!$F$11)</f>
        <v>1.5469392158996892E-2</v>
      </c>
      <c r="S20" s="60">
        <f t="shared" si="1"/>
        <v>-2.5586965781741683E-3</v>
      </c>
    </row>
    <row r="21" spans="2:19">
      <c r="B21" s="16" t="s">
        <v>29</v>
      </c>
      <c r="C21" s="17">
        <f>(2*I3+(2+F3^2)*I5)*COS(F8)+2*C3*I5*COS(F3)</f>
        <v>21.310661396339366</v>
      </c>
      <c r="D21" s="15"/>
      <c r="E21" s="37" t="s">
        <v>42</v>
      </c>
      <c r="F21" s="72">
        <f>1/(32*F2^4*I3*I5)*(C21-I5*F5^2*COS(F8)+C22*COS(F5)+C23*F5*SIN(F5))+I9/(16*F2^2*I3*I5)*(2*I5*(COS(F3))^2+(I3+I5)*F3*SIN(F3)*COS(F5)-2*I5*COS(F3)*COS(F5)-(I3+I5)*F5*COS(F3)*SIN(F5))*(TAN(I10)-SIN(F8)*TAN(F3))*(1/TAN(F8))</f>
        <v>4.7161904659867484E-4</v>
      </c>
      <c r="G21" s="37" t="s">
        <v>42</v>
      </c>
      <c r="H21" s="72">
        <f>1/(64*F2^4*I3*I5)*(C24+2*F2*C25*F5-C25*F5^2+C26*SIN(F5)+C27*COS(F5)+C28*F5*SIN(F5)+C29*F5*COS(F5))-(1/(2*F2))*(I9/(16*F2*I3*I5)*(COS(F8)*TAN(F3)-TAN(I10)/TAN(F8))*(2*(I3+I5)*F3+(I3-I5)*SIN(2*F3))*SIN(F3-F5))</f>
        <v>1.163545440459371E-3</v>
      </c>
      <c r="K21" s="65">
        <v>18</v>
      </c>
      <c r="L21" s="15">
        <f>K21*Interface!$F$11/100</f>
        <v>8.2295999999999996</v>
      </c>
      <c r="M21" s="59">
        <f t="shared" si="0"/>
        <v>1.4399942400230399E-3</v>
      </c>
      <c r="N21" s="15">
        <f>IF(M21&lt;$F$3,(1/(4*$F$2^2)*(COS($F$2)+$F$2*SIN($F$3)-COS(M21)-M21*SIN(M21))*SIN($F$8)+1/(4*$F$2)*(COS(M21)-COS($F$3))*TAN($I$10))*(Interface!$F$17*Interface!$F$11^2),(1/(4*Background!$F$2^2)*(COS(Background!$F$2)-COS(Background!M21)+(Background!$F$2-Background!M21)*SIN(Background!M21))*SIN(Background!$F$8))*(Interface!$F$17*Interface!$F$11^2))</f>
        <v>7.9182745057539066</v>
      </c>
      <c r="O21" s="15">
        <f>IF(M21&lt;$F$3,(1/(4*$F$2^2)*($C$3*SIN(M21)-M21*COS($F$8)))*(Interface!$F$17*Interface!$F$11^2),(1/(4*$F$2^2)*($F$2-M21-SIN($F$2-M21))*COS($F$8))*(Interface!$F$17*Interface!$F$11^2))</f>
        <v>1.5161819127234841</v>
      </c>
      <c r="P21" s="15">
        <f>IF(M21&lt;$F$3,(1/(4*$F$2^2)*(COS($F$8)-$C$3*COS(M21)))*(Interface!$F$17*Interface!$F$11^2),(1/(4*$F$2^2)*(1-COS($F$2-M21))*COS($F$8))*(Interface!$F$17*Interface!$F$11^2))</f>
        <v>-797.81766044651476</v>
      </c>
      <c r="Q21" s="15">
        <f>IF(M21&lt;$F$3,(1/(64*$F$2^4*$I$4)*((-4*$C$4+3*M21*SIN(M21)+($C$5-M21^2)*COS(M21))*SIN($F$8)+(4*$F$2*COS($F$3)-2*$F$2*M21*SIN(M21)+$C$6*COS(M21))*TAN($I$10)))*Interface!$F$11,(1/(64*$F$2^4*$I$4)*((4*(COS(M21)*1/COS($F$3)-1)*COS($F$2)+($C$7+3*M21)*SIN(M21)+($F$3-M21)*($C$8+M21)*COS(M21)-$C$9*COS(M21))*SIN($F$8)+$C$10*SIN($F$3-M21)*TAN($I$10)))*Interface!$F$11)</f>
        <v>3.6691324873637855E-3</v>
      </c>
      <c r="R21" s="15">
        <f>IF(M21&lt;$F$3,(1/(32*$F$2^4*$I$3*$I$5)*($C$21-$I$5*M21^2*COS($F$8)+$C$22*COS(M21)+$C$23*M21*SIN(M21)))*Interface!$F$11,(1/(64*$F$2^4*$I$3*$I$5)*($C$24+2*$F$2*$C$25*M21-$C$25*M21^2+$C$26*SIN(M21)+$C$27*COS(M21)+$C$28*M21*SIN(M21)+$C$29*M21*COS(M21)))*Interface!$F$11)</f>
        <v>1.4781702033638247E-2</v>
      </c>
      <c r="S21" s="60">
        <f t="shared" si="1"/>
        <v>-2.4437662539835538E-3</v>
      </c>
    </row>
    <row r="22" spans="2:19" ht="15.75" thickBot="1">
      <c r="B22" s="16" t="s">
        <v>30</v>
      </c>
      <c r="C22" s="17">
        <f>(I3+I5)*(C3*F3*SIN(F3)-2*COS(F8))*1/COS(F3)-2*C3*I5</f>
        <v>-21.310661396332719</v>
      </c>
      <c r="D22" s="15"/>
      <c r="E22" s="98" t="s">
        <v>40</v>
      </c>
      <c r="F22" s="73">
        <f>(I3+I5)/(16*F2^3*I3*I5)*(-2*COS(F8)+C15*COS(F5)+C3*F5*SIN(F5))+I9*(I3+I5)/(8*F2)</f>
        <v>-6.2218617675287389E-5</v>
      </c>
      <c r="G22" s="98" t="s">
        <v>40</v>
      </c>
      <c r="H22" s="73">
        <f>1/(64*F2^3*I3*I5)*(C16+C17*SIN(F5)+C18*COS(F5)+C19*F5*SIN(F5)+C20*F5*COS(F5))+I9/(16*F2*I3*I5)*(COS(F8)*TAN(F3)-TAN(I10)/TAN(F8))*(2*(I3+I5)*F3+(I3-I5)*SIN(2*F3))*SIN(F3-F5)</f>
        <v>-7.1297625321806792E-5</v>
      </c>
      <c r="K22" s="65">
        <v>19</v>
      </c>
      <c r="L22" s="15">
        <f>K22*Interface!$F$11/100</f>
        <v>8.6867999999999999</v>
      </c>
      <c r="M22" s="59">
        <f t="shared" si="0"/>
        <v>1.5199939200243198E-3</v>
      </c>
      <c r="N22" s="15">
        <f>IF(M22&lt;$F$3,(1/(4*$F$2^2)*(COS($F$2)+$F$2*SIN($F$3)-COS(M22)-M22*SIN(M22))*SIN($F$8)+1/(4*$F$2)*(COS(M22)-COS($F$3))*TAN($I$10))*(Interface!$F$17*Interface!$F$11^2),(1/(4*Background!$F$2^2)*(COS(Background!$F$2)-COS(Background!M22)+(Background!$F$2-Background!M22)*SIN(Background!M22))*SIN(Background!$F$8))*(Interface!$F$17*Interface!$F$11^2))</f>
        <v>7.4845969759554691</v>
      </c>
      <c r="O22" s="15">
        <f>IF(M22&lt;$F$3,(1/(4*$F$2^2)*($C$3*SIN(M22)-M22*COS($F$8)))*(Interface!$F$17*Interface!$F$11^2),(1/(4*$F$2^2)*($F$2-M22-SIN($F$2-M22))*COS($F$8))*(Interface!$F$17*Interface!$F$11^2))</f>
        <v>1.5782749804799108</v>
      </c>
      <c r="P22" s="15">
        <f>IF(M22&lt;$F$3,(1/(4*$F$2^2)*(COS($F$8)-$C$3*COS(M22)))*(Interface!$F$17*Interface!$F$11^2),(1/(4*$F$2^2)*(1-COS($F$2-M22))*COS($F$8))*(Interface!$F$17*Interface!$F$11^2))</f>
        <v>-754.12158255037309</v>
      </c>
      <c r="Q22" s="15">
        <f>IF(M22&lt;$F$3,(1/(64*$F$2^4*$I$4)*((-4*$C$4+3*M22*SIN(M22)+($C$5-M22^2)*COS(M22))*SIN($F$8)+(4*$F$2*COS($F$3)-2*$F$2*M22*SIN(M22)+$C$6*COS(M22))*TAN($I$10)))*Interface!$F$11,(1/(64*$F$2^4*$I$4)*((4*(COS(M22)*1/COS($F$3)-1)*COS($F$2)+($C$7+3*M22)*SIN(M22)+($F$3-M22)*($C$8+M22)*COS(M22)-$C$9*COS(M22))*SIN($F$8)+$C$10*SIN($F$3-M22)*TAN($I$10)))*Interface!$F$11)</f>
        <v>3.4892321705823036E-3</v>
      </c>
      <c r="R22" s="15">
        <f>IF(M22&lt;$F$3,(1/(32*$F$2^4*$I$3*$I$5)*($C$21-$I$5*M22^2*COS($F$8)+$C$22*COS(M22)+$C$23*M22*SIN(M22)))*Interface!$F$11,(1/(64*$F$2^4*$I$3*$I$5)*($C$24+2*$F$2*$C$25*M22-$C$25*M22^2+$C$26*SIN(M22)+$C$27*COS(M22)+$C$28*M22*SIN(M22)+$C$29*M22*COS(M22)))*Interface!$F$11)</f>
        <v>1.403969143998509E-2</v>
      </c>
      <c r="S22" s="60">
        <f t="shared" si="1"/>
        <v>-2.3238798938373913E-3</v>
      </c>
    </row>
    <row r="23" spans="2:19" ht="16.5" thickBot="1">
      <c r="B23" s="16" t="s">
        <v>31</v>
      </c>
      <c r="C23" s="17">
        <f>-(I3+I5)*C3</f>
        <v>-5.4943433537523818</v>
      </c>
      <c r="D23" s="15"/>
      <c r="E23" s="35"/>
      <c r="K23" s="65">
        <v>20</v>
      </c>
      <c r="L23" s="15">
        <f>K23*Interface!$F$11/100</f>
        <v>9.1440000000000001</v>
      </c>
      <c r="M23" s="59">
        <f t="shared" si="0"/>
        <v>1.5999936000255998E-3</v>
      </c>
      <c r="N23" s="15">
        <f>IF(M23&lt;$F$3,(1/(4*$F$2^2)*(COS($F$2)+$F$2*SIN($F$3)-COS(M23)-M23*SIN(M23))*SIN($F$8)+1/(4*$F$2)*(COS(M23)-COS($F$3))*TAN($I$10))*(Interface!$F$17*Interface!$F$11^2),(1/(4*Background!$F$2^2)*(COS(Background!$F$2)-COS(Background!M23)+(Background!$F$2-Background!M23)*SIN(Background!M23))*SIN(Background!$F$8))*(Interface!$F$17*Interface!$F$11^2))</f>
        <v>7.0274774733444385</v>
      </c>
      <c r="O23" s="15">
        <f>IF(M23&lt;$F$3,(1/(4*$F$2^2)*($C$3*SIN(M23)-M23*COS($F$8)))*(Interface!$F$17*Interface!$F$11^2),(1/(4*$F$2^2)*($F$2-M23-SIN($F$2-M23))*COS($F$8))*(Interface!$F$17*Interface!$F$11^2))</f>
        <v>1.6367778982762495</v>
      </c>
      <c r="P23" s="15">
        <f>IF(M23&lt;$F$3,(1/(4*$F$2^2)*(COS($F$8)-$C$3*COS(M23)))*(Interface!$F$17*Interface!$F$11^2),(1/(4*$F$2^2)*(1-COS($F$2-M23))*COS($F$8))*(Interface!$F$17*Interface!$F$11^2))</f>
        <v>-708.06355635930151</v>
      </c>
      <c r="Q23" s="15">
        <f>IF(M23&lt;$F$3,(1/(64*$F$2^4*$I$4)*((-4*$C$4+3*M23*SIN(M23)+($C$5-M23^2)*COS(M23))*SIN($F$8)+(4*$F$2*COS($F$3)-2*$F$2*M23*SIN(M23)+$C$6*COS(M23))*TAN($I$10)))*Interface!$F$11,(1/(64*$F$2^4*$I$4)*((4*(COS(M23)*1/COS($F$3)-1)*COS($F$2)+($C$7+3*M23)*SIN(M23)+($F$3-M23)*($C$8+M23)*COS(M23)-$C$9*COS(M23))*SIN($F$8)+$C$10*SIN($F$3-M23)*TAN($I$10)))*Interface!$F$11)</f>
        <v>3.3021834968426167E-3</v>
      </c>
      <c r="R23" s="15">
        <f>IF(M23&lt;$F$3,(1/(32*$F$2^4*$I$3*$I$5)*($C$21-$I$5*M23^2*COS($F$8)+$C$22*COS(M23)+$C$23*M23*SIN(M23)))*Interface!$F$11,(1/(64*$F$2^4*$I$3*$I$5)*($C$24+2*$F$2*$C$25*M23-$C$25*M23^2+$C$26*SIN(M23)+$C$27*COS(M23)+$C$28*M23*SIN(M23)+$C$29*M23*COS(M23)))*Interface!$F$11)</f>
        <v>1.3297381521144316E-2</v>
      </c>
      <c r="S23" s="60">
        <f t="shared" si="1"/>
        <v>-2.1993410199609132E-3</v>
      </c>
    </row>
    <row r="24" spans="2:19" ht="15.75" thickBot="1">
      <c r="B24" s="16" t="s">
        <v>32</v>
      </c>
      <c r="C24" s="17">
        <f>2*(2*(I3+I5-I5*F2*F3)+I5*F3^2+2*I5*COS(F2-F3))*COS(F8)</f>
        <v>42.621091611434828</v>
      </c>
      <c r="D24" s="15"/>
      <c r="E24" s="146" t="s">
        <v>44</v>
      </c>
      <c r="F24" s="147"/>
      <c r="G24" s="147"/>
      <c r="H24" s="148"/>
      <c r="K24" s="65">
        <v>21</v>
      </c>
      <c r="L24" s="15">
        <f>K24*Interface!$F$11/100</f>
        <v>9.6012000000000004</v>
      </c>
      <c r="M24" s="59">
        <f t="shared" si="0"/>
        <v>1.67999328002688E-3</v>
      </c>
      <c r="N24" s="15">
        <f>IF(M24&lt;$F$3,(1/(4*$F$2^2)*(COS($F$2)+$F$2*SIN($F$3)-COS(M24)-M24*SIN(M24))*SIN($F$8)+1/(4*$F$2)*(COS(M24)-COS($F$3))*TAN($I$10))*(Interface!$F$17*Interface!$F$11^2),(1/(4*Background!$F$2^2)*(COS(Background!$F$2)-COS(Background!M24)+(Background!$F$2-Background!M24)*SIN(Background!M24))*SIN(Background!$F$8))*(Interface!$F$17*Interface!$F$11^2))</f>
        <v>6.546916006776371</v>
      </c>
      <c r="O24" s="15">
        <f>IF(M24&lt;$F$3,(1/(4*$F$2^2)*($C$3*SIN(M24)-M24*COS($F$8)))*(Interface!$F$17*Interface!$F$11^2),(1/(4*$F$2^2)*($F$2-M24-SIN($F$2-M24))*COS($F$8))*(Interface!$F$17*Interface!$F$11^2))</f>
        <v>1.6915017112010489</v>
      </c>
      <c r="P24" s="15">
        <f>IF(M24&lt;$F$3,(1/(4*$F$2^2)*(COS($F$8)-$C$3*COS(M24)))*(Interface!$F$17*Interface!$F$11^2),(1/(4*$F$2^2)*(1-COS($F$2-M24))*COS($F$8))*(Interface!$F$17*Interface!$F$11^2))</f>
        <v>-659.64358216012863</v>
      </c>
      <c r="Q24" s="15">
        <f>IF(M24&lt;$F$3,(1/(64*$F$2^4*$I$4)*((-4*$C$4+3*M24*SIN(M24)+($C$5-M24^2)*COS(M24))*SIN($F$8)+(4*$F$2*COS($F$3)-2*$F$2*M24*SIN(M24)+$C$6*COS(M24))*TAN($I$10)))*Interface!$F$11,(1/(64*$F$2^4*$I$4)*((4*(COS(M24)*1/COS($F$3)-1)*COS($F$2)+($C$7+3*M24)*SIN(M24)+($F$3-M24)*($C$8+M24)*COS(M24)-$C$9*COS(M24))*SIN($F$8)+$C$10*SIN($F$3-M24)*TAN($I$10)))*Interface!$F$11)</f>
        <v>3.1087013018405445E-3</v>
      </c>
      <c r="R24" s="15">
        <f>IF(M24&lt;$F$3,(1/(32*$F$2^4*$I$3*$I$5)*($C$21-$I$5*M24^2*COS($F$8)+$C$22*COS(M24)+$C$23*M24*SIN(M24)))*Interface!$F$11,(1/(64*$F$2^4*$I$3*$I$5)*($C$24+2*$F$2*$C$25*M24-$C$25*M24^2+$C$26*SIN(M24)+$C$27*COS(M24)+$C$28*M24*SIN(M24)+$C$29*M24*COS(M24)))*Interface!$F$11)</f>
        <v>1.2519517123566526E-2</v>
      </c>
      <c r="S24" s="60">
        <f t="shared" si="1"/>
        <v>-2.0704030745772625E-3</v>
      </c>
    </row>
    <row r="25" spans="2:19" ht="16.5" thickBot="1">
      <c r="B25" s="16" t="s">
        <v>33</v>
      </c>
      <c r="C25" s="17">
        <f>2*I5*COS(F8)</f>
        <v>10.321976821343803</v>
      </c>
      <c r="D25" s="15"/>
      <c r="E25" s="149" t="s">
        <v>55</v>
      </c>
      <c r="F25" s="150"/>
      <c r="G25" s="151" t="s">
        <v>56</v>
      </c>
      <c r="H25" s="152"/>
      <c r="I25" s="38"/>
      <c r="J25" s="38"/>
      <c r="K25" s="65">
        <v>22</v>
      </c>
      <c r="L25" s="15">
        <f>K25*Interface!$F$11/100</f>
        <v>10.058399999999999</v>
      </c>
      <c r="M25" s="59">
        <f t="shared" si="0"/>
        <v>1.7599929600281598E-3</v>
      </c>
      <c r="N25" s="15">
        <f>IF(M25&lt;$F$3,(1/(4*$F$2^2)*(COS($F$2)+$F$2*SIN($F$3)-COS(M25)-M25*SIN(M25))*SIN($F$8)+1/(4*$F$2)*(COS(M25)-COS($F$3))*TAN($I$10))*(Interface!$F$17*Interface!$F$11^2),(1/(4*Background!$F$2^2)*(COS(Background!$F$2)-COS(Background!M25)+(Background!$F$2-Background!M25)*SIN(Background!M25))*SIN(Background!$F$8))*(Interface!$F$17*Interface!$F$11^2))</f>
        <v>6.0429125848936458</v>
      </c>
      <c r="O25" s="15">
        <f>IF(M25&lt;$F$3,(1/(4*$F$2^2)*($C$3*SIN(M25)-M25*COS($F$8)))*(Interface!$F$17*Interface!$F$11^2),(1/(4*$F$2^2)*($F$2-M25-SIN($F$2-M25))*COS($F$8))*(Interface!$F$17*Interface!$F$11^2))</f>
        <v>1.7422574642628279</v>
      </c>
      <c r="P25" s="15">
        <f>IF(M25&lt;$F$3,(1/(4*$F$2^2)*(COS($F$8)-$C$3*COS(M25)))*(Interface!$F$17*Interface!$F$11^2),(1/(4*$F$2^2)*(1-COS($F$2-M25))*COS($F$8))*(Interface!$F$17*Interface!$F$11^2))</f>
        <v>-608.86166028065873</v>
      </c>
      <c r="Q25" s="15">
        <f>IF(M25&lt;$F$3,(1/(64*$F$2^4*$I$4)*((-4*$C$4+3*M25*SIN(M25)+($C$5-M25^2)*COS(M25))*SIN($F$8)+(4*$F$2*COS($F$3)-2*$F$2*M25*SIN(M25)+$C$6*COS(M25))*TAN($I$10)))*Interface!$F$11,(1/(64*$F$2^4*$I$4)*((4*(COS(M25)*1/COS($F$3)-1)*COS($F$2)+($C$7+3*M25)*SIN(M25)+($F$3-M25)*($C$8+M25)*COS(M25)-$C$9*COS(M25))*SIN($F$8)+$C$10*SIN($F$3-M25)*TAN($I$10)))*Interface!$F$11)</f>
        <v>2.9089047248587263E-3</v>
      </c>
      <c r="R25" s="15">
        <f>IF(M25&lt;$F$3,(1/(32*$F$2^4*$I$3*$I$5)*($C$21-$I$5*M25^2*COS($F$8)+$C$22*COS(M25)+$C$23*M25*SIN(M25)))*Interface!$F$11,(1/(64*$F$2^4*$I$3*$I$5)*($C$24+2*$F$2*$C$25*M25-$C$25*M25^2+$C$26*SIN(M25)+$C$27*COS(M25)+$C$28*M25*SIN(M25)+$C$29*M25*COS(M25)))*Interface!$F$11)</f>
        <v>1.1719861375335705E-2</v>
      </c>
      <c r="S25" s="60">
        <f t="shared" si="1"/>
        <v>-1.937388453073076E-3</v>
      </c>
    </row>
    <row r="26" spans="2:19" ht="18.75">
      <c r="B26" s="16" t="s">
        <v>34</v>
      </c>
      <c r="C26" s="17">
        <f>(2*(I3+I5)*F3*COS(F2)-4*F2*I5*COS(F3)-(I3+3*I5)*SIN(F2)+(I5-I3)*SIN(F2-2*F3))*COS(F8)-2*(I3+I5)*C3*F3+(I5-I3)*C3*SIN(2*F3)</f>
        <v>-0.12652981837999905</v>
      </c>
      <c r="D26" s="15"/>
      <c r="E26" s="40" t="s">
        <v>57</v>
      </c>
      <c r="F26" s="41">
        <f>F14*(Interface!F17*Interface!F11)</f>
        <v>0</v>
      </c>
      <c r="G26" s="42" t="s">
        <v>57</v>
      </c>
      <c r="H26" s="41">
        <f>H14*(Interface!F17*Interface!F11)</f>
        <v>0</v>
      </c>
      <c r="I26" s="39"/>
      <c r="J26" s="38"/>
      <c r="K26" s="65">
        <v>23</v>
      </c>
      <c r="L26" s="15">
        <f>K26*Interface!$F$11/100</f>
        <v>10.515599999999999</v>
      </c>
      <c r="M26" s="59">
        <f t="shared" si="0"/>
        <v>1.8399926400294397E-3</v>
      </c>
      <c r="N26" s="15">
        <f>IF(M26&lt;$F$3,(1/(4*$F$2^2)*(COS($F$2)+$F$2*SIN($F$3)-COS(M26)-M26*SIN(M26))*SIN($F$8)+1/(4*$F$2)*(COS(M26)-COS($F$3))*TAN($I$10))*(Interface!$F$17*Interface!$F$11^2),(1/(4*Background!$F$2^2)*(COS(Background!$F$2)-COS(Background!M26)+(Background!$F$2-Background!M26)*SIN(Background!M26))*SIN(Background!$F$8))*(Interface!$F$17*Interface!$F$11^2))</f>
        <v>5.5154672173453747</v>
      </c>
      <c r="O26" s="15">
        <f>IF(M26&lt;$F$3,(1/(4*$F$2^2)*($C$3*SIN(M26)-M26*COS($F$8)))*(Interface!$F$17*Interface!$F$11^2),(1/(4*$F$2^2)*($F$2-M26-SIN($F$2-M26))*COS($F$8))*(Interface!$F$17*Interface!$F$11^2))</f>
        <v>1.7888562021499834</v>
      </c>
      <c r="P26" s="15">
        <f>IF(M26&lt;$F$3,(1/(4*$F$2^2)*(COS($F$8)-$C$3*COS(M26)))*(Interface!$F$17*Interface!$F$11^2),(1/(4*$F$2^2)*(1-COS($F$2-M26))*COS($F$8))*(Interface!$F$17*Interface!$F$11^2))</f>
        <v>-555.71779108967166</v>
      </c>
      <c r="Q26" s="15">
        <f>IF(M26&lt;$F$3,(1/(64*$F$2^4*$I$4)*((-4*$C$4+3*M26*SIN(M26)+($C$5-M26^2)*COS(M26))*SIN($F$8)+(4*$F$2*COS($F$3)-2*$F$2*M26*SIN(M26)+$C$6*COS(M26))*TAN($I$10)))*Interface!$F$11,(1/(64*$F$2^4*$I$4)*((4*(COS(M26)*1/COS($F$3)-1)*COS($F$2)+($C$7+3*M26)*SIN(M26)+($F$3-M26)*($C$8+M26)*COS(M26)-$C$9*COS(M26))*SIN($F$8)+$C$10*SIN($F$3-M26)*TAN($I$10)))*Interface!$F$11)</f>
        <v>2.7035086015929806E-3</v>
      </c>
      <c r="R26" s="15">
        <f>IF(M26&lt;$F$3,(1/(32*$F$2^4*$I$3*$I$5)*($C$21-$I$5*M26^2*COS($F$8)+$C$22*COS(M26)+$C$23*M26*SIN(M26)))*Interface!$F$11,(1/(64*$F$2^4*$I$3*$I$5)*($C$24+2*$F$2*$C$25*M26-$C$25*M26^2+$C$26*SIN(M26)+$C$27*COS(M26)+$C$28*M26*SIN(M26)+$C$29*M26*COS(M26)))*Interface!$F$11)</f>
        <v>1.0880523753581166E-2</v>
      </c>
      <c r="S26" s="60">
        <f t="shared" si="1"/>
        <v>-1.8005694694706834E-3</v>
      </c>
    </row>
    <row r="27" spans="2:19" ht="18.75">
      <c r="B27" s="16" t="s">
        <v>35</v>
      </c>
      <c r="C27" s="17">
        <f>(4*I5*F2*SIN(F3)-2*(I3+I5)*(2*1/COS(F3)+F3*SIN(F2))-(I3+3*I5)*COS(F2)+(I3-I5)*COS(F2-2*F3))*COS(F8)+(2*(I3+I5)*F3+(I3-I5)*SIN(2*F3))*C3*TAN(F3)</f>
        <v>-42.621091611402029</v>
      </c>
      <c r="D27" s="15"/>
      <c r="E27" s="40" t="s">
        <v>58</v>
      </c>
      <c r="F27" s="41">
        <f>F15*(Interface!F17*Interface!F11)</f>
        <v>0</v>
      </c>
      <c r="G27" s="42" t="s">
        <v>58</v>
      </c>
      <c r="H27" s="41">
        <f>H15*(Interface!F17*Interface!F11)</f>
        <v>258.30527830644058</v>
      </c>
      <c r="I27" s="38"/>
      <c r="J27" s="38"/>
      <c r="K27" s="65">
        <v>24</v>
      </c>
      <c r="L27" s="15">
        <f>K27*Interface!$F$11/100</f>
        <v>10.972799999999999</v>
      </c>
      <c r="M27" s="59">
        <f t="shared" si="0"/>
        <v>1.9199923200307197E-3</v>
      </c>
      <c r="N27" s="15">
        <f>IF(M27&lt;$F$3,(1/(4*$F$2^2)*(COS($F$2)+$F$2*SIN($F$3)-COS(M27)-M27*SIN(M27))*SIN($F$8)+1/(4*$F$2)*(COS(M27)-COS($F$3))*TAN($I$10))*(Interface!$F$17*Interface!$F$11^2),(1/(4*Background!$F$2^2)*(COS(Background!$F$2)-COS(Background!M27)+(Background!$F$2-Background!M27)*SIN(Background!M27))*SIN(Background!$F$8))*(Interface!$F$17*Interface!$F$11^2))</f>
        <v>4.9645799151941228</v>
      </c>
      <c r="O27" s="15">
        <f>IF(M27&lt;$F$3,(1/(4*$F$2^2)*($C$3*SIN(M27)-M27*COS($F$8)))*(Interface!$F$17*Interface!$F$11^2),(1/(4*$F$2^2)*($F$2-M27-SIN($F$2-M27))*COS($F$8))*(Interface!$F$17*Interface!$F$11^2))</f>
        <v>1.8311089701911558</v>
      </c>
      <c r="P27" s="15">
        <f>IF(M27&lt;$F$3,(1/(4*$F$2^2)*(COS($F$8)-$C$3*COS(M27)))*(Interface!$F$17*Interface!$F$11^2),(1/(4*$F$2^2)*(1-COS($F$2-M27))*COS($F$8))*(Interface!$F$17*Interface!$F$11^2))</f>
        <v>-500.21197479204488</v>
      </c>
      <c r="Q27" s="15">
        <f>IF(M27&lt;$F$3,(1/(64*$F$2^4*$I$4)*((-4*$C$4+3*M27*SIN(M27)+($C$5-M27^2)*COS(M27))*SIN($F$8)+(4*$F$2*COS($F$3)-2*$F$2*M27*SIN(M27)+$C$6*COS(M27))*TAN($I$10)))*Interface!$F$11,(1/(64*$F$2^4*$I$4)*((4*(COS(M27)*1/COS($F$3)-1)*COS($F$2)+($C$7+3*M27)*SIN(M27)+($F$3-M27)*($C$8+M27)*COS(M27)-$C$9*COS(M27))*SIN($F$8)+$C$10*SIN($F$3-M27)*TAN($I$10)))*Interface!$F$11)</f>
        <v>2.4928703498912183E-3</v>
      </c>
      <c r="R27" s="15">
        <f>IF(M27&lt;$F$3,(1/(32*$F$2^4*$I$3*$I$5)*($C$21-$I$5*M27^2*COS($F$8)+$C$22*COS(M27)+$C$23*M27*SIN(M27)))*Interface!$F$11,(1/(64*$F$2^4*$I$3*$I$5)*($C$24+2*$F$2*$C$25*M27-$C$25*M27^2+$C$26*SIN(M27)+$C$27*COS(M27)+$C$28*M27*SIN(M27)+$C$29*M27*COS(M27)))*Interface!$F$11)</f>
        <v>1.0044156545106873E-2</v>
      </c>
      <c r="S27" s="60">
        <f t="shared" si="1"/>
        <v>-1.6603667463239487E-3</v>
      </c>
    </row>
    <row r="28" spans="2:19" ht="18.75">
      <c r="B28" s="16" t="s">
        <v>36</v>
      </c>
      <c r="C28" s="17">
        <f>-2*(I3+I5)*COS(F2)*COS(F8)</f>
        <v>-10.988563651134694</v>
      </c>
      <c r="D28" s="15"/>
      <c r="E28" s="40" t="s">
        <v>59</v>
      </c>
      <c r="F28" s="41">
        <f>F16*(Interface!F17*Interface!F11)</f>
        <v>0</v>
      </c>
      <c r="G28" s="42" t="s">
        <v>59</v>
      </c>
      <c r="H28" s="41">
        <f>H16*(Interface!F17*Interface!F11)</f>
        <v>2.563654234152041</v>
      </c>
      <c r="I28" s="38"/>
      <c r="J28" s="38"/>
      <c r="K28" s="65">
        <v>25</v>
      </c>
      <c r="L28" s="15">
        <f>K28*Interface!$F$11/100</f>
        <v>11.43</v>
      </c>
      <c r="M28" s="59">
        <f t="shared" si="0"/>
        <v>1.9999920000319999E-3</v>
      </c>
      <c r="N28" s="15">
        <f>IF(M28&lt;$F$3,(1/(4*$F$2^2)*(COS($F$2)+$F$2*SIN($F$3)-COS(M28)-M28*SIN(M28))*SIN($F$8)+1/(4*$F$2)*(COS(M28)-COS($F$3))*TAN($I$10))*(Interface!$F$17*Interface!$F$11^2),(1/(4*Background!$F$2^2)*(COS(Background!$F$2)-COS(Background!M28)+(Background!$F$2-Background!M28)*SIN(Background!M28))*SIN(Background!$F$8))*(Interface!$F$17*Interface!$F$11^2))</f>
        <v>4.3902506876626006</v>
      </c>
      <c r="O28" s="15">
        <f>IF(M28&lt;$F$3,(1/(4*$F$2^2)*($C$3*SIN(M28)-M28*COS($F$8)))*(Interface!$F$17*Interface!$F$11^2),(1/(4*$F$2^2)*($F$2-M28-SIN($F$2-M28))*COS($F$8))*(Interface!$F$17*Interface!$F$11^2))</f>
        <v>1.8688268129146812</v>
      </c>
      <c r="P28" s="15">
        <f>IF(M28&lt;$F$3,(1/(4*$F$2^2)*(COS($F$8)-$C$3*COS(M28)))*(Interface!$F$17*Interface!$F$11^2),(1/(4*$F$2^2)*(1-COS($F$2-M28))*COS($F$8))*(Interface!$F$17*Interface!$F$11^2))</f>
        <v>-442.34421192046057</v>
      </c>
      <c r="Q28" s="15">
        <f>IF(M28&lt;$F$3,(1/(64*$F$2^4*$I$4)*((-4*$C$4+3*M28*SIN(M28)+($C$5-M28^2)*COS(M28))*SIN($F$8)+(4*$F$2*COS($F$3)-2*$F$2*M28*SIN(M28)+$C$6*COS(M28))*TAN($I$10)))*Interface!$F$11,(1/(64*$F$2^4*$I$4)*((4*(COS(M28)*1/COS($F$3)-1)*COS($F$2)+($C$7+3*M28)*SIN(M28)+($F$3-M28)*($C$8+M28)*COS(M28)-$C$9*COS(M28))*SIN($F$8)+$C$10*SIN($F$3-M28)*TAN($I$10)))*Interface!$F$11)</f>
        <v>2.2777048054492596E-3</v>
      </c>
      <c r="R28" s="15">
        <f>IF(M28&lt;$F$3,(1/(32*$F$2^4*$I$3*$I$5)*($C$21-$I$5*M28^2*COS($F$8)+$C$22*COS(M28)+$C$23*M28*SIN(M28)))*Interface!$F$11,(1/(64*$F$2^4*$I$3*$I$5)*($C$24+2*$F$2*$C$25*M28-$C$25*M28^2+$C$26*SIN(M28)+$C$27*COS(M28)+$C$28*M28*SIN(M28)+$C$29*M28*COS(M28)))*Interface!$F$11)</f>
        <v>9.1641357895184666E-3</v>
      </c>
      <c r="S28" s="60">
        <f t="shared" si="1"/>
        <v>-1.5169921153728864E-3</v>
      </c>
    </row>
    <row r="29" spans="2:19" ht="18.75">
      <c r="B29" s="16" t="s">
        <v>37</v>
      </c>
      <c r="C29" s="17">
        <f>2*(I3+I5)*SIN(F2)*COS(F8)</f>
        <v>4.3954313209602081E-2</v>
      </c>
      <c r="D29" s="15"/>
      <c r="E29" s="40" t="s">
        <v>60</v>
      </c>
      <c r="F29" s="41">
        <f>F17*(Interface!F17*Interface!F11^2)</f>
        <v>0</v>
      </c>
      <c r="G29" s="42" t="s">
        <v>60</v>
      </c>
      <c r="H29" s="41">
        <f>H17*(Interface!F17*Interface!F11^2)</f>
        <v>3.9365535460602792</v>
      </c>
      <c r="I29" s="38"/>
      <c r="J29" s="38"/>
      <c r="K29" s="65">
        <v>26</v>
      </c>
      <c r="L29" s="15">
        <f>K29*Interface!$F$11/100</f>
        <v>11.8872</v>
      </c>
      <c r="M29" s="59">
        <f t="shared" si="0"/>
        <v>2.0799916800332799E-3</v>
      </c>
      <c r="N29" s="15">
        <f>IF(M29&lt;$F$3,(1/(4*$F$2^2)*(COS($F$2)+$F$2*SIN($F$3)-COS(M29)-M29*SIN(M29))*SIN($F$8)+1/(4*$F$2)*(COS(M29)-COS($F$3))*TAN($I$10))*(Interface!$F$17*Interface!$F$11^2),(1/(4*Background!$F$2^2)*(COS(Background!$F$2)-COS(Background!M29)+(Background!$F$2-Background!M29)*SIN(Background!M29))*SIN(Background!$F$8))*(Interface!$F$17*Interface!$F$11^2))</f>
        <v>3.7924795470135941</v>
      </c>
      <c r="O29" s="15">
        <f>IF(M29&lt;$F$3,(1/(4*$F$2^2)*($C$3*SIN(M29)-M29*COS($F$8)))*(Interface!$F$17*Interface!$F$11^2),(1/(4*$F$2^2)*($F$2-M29-SIN($F$2-M29))*COS($F$8))*(Interface!$F$17*Interface!$F$11^2))</f>
        <v>1.9018207758892909</v>
      </c>
      <c r="P29" s="15">
        <f>IF(M29&lt;$F$3,(1/(4*$F$2^2)*(COS($F$8)-$C$3*COS(M29)))*(Interface!$F$17*Interface!$F$11^2),(1/(4*$F$2^2)*(1-COS($F$2-M29))*COS($F$8))*(Interface!$F$17*Interface!$F$11^2))</f>
        <v>-382.11450272077178</v>
      </c>
      <c r="Q29" s="15">
        <f>IF(M29&lt;$F$3,(1/(64*$F$2^4*$I$4)*((-4*$C$4+3*M29*SIN(M29)+($C$5-M29^2)*COS(M29))*SIN($F$8)+(4*$F$2*COS($F$3)-2*$F$2*M29*SIN(M29)+$C$6*COS(M29))*TAN($I$10)))*Interface!$F$11,(1/(64*$F$2^4*$I$4)*((4*(COS(M29)*1/COS($F$3)-1)*COS($F$2)+($C$7+3*M29)*SIN(M29)+($F$3-M29)*($C$8+M29)*COS(M29)-$C$9*COS(M29))*SIN($F$8)+$C$10*SIN($F$3-M29)*TAN($I$10)))*Interface!$F$11)</f>
        <v>2.0584885253976518E-3</v>
      </c>
      <c r="R29" s="15">
        <f>IF(M29&lt;$F$3,(1/(32*$F$2^4*$I$3*$I$5)*($C$21-$I$5*M29^2*COS($F$8)+$C$22*COS(M29)+$C$23*M29*SIN(M29)))*Interface!$F$11,(1/(64*$F$2^4*$I$3*$I$5)*($C$24+2*$F$2*$C$25*M29-$C$25*M29^2+$C$26*SIN(M29)+$C$27*COS(M29)+$C$28*M29*SIN(M29)+$C$29*M29*COS(M29)))*Interface!$F$11)</f>
        <v>8.2774293042534551E-3</v>
      </c>
      <c r="S29" s="60">
        <f t="shared" si="1"/>
        <v>-1.3709247489951219E-3</v>
      </c>
    </row>
    <row r="30" spans="2:19" ht="18.75">
      <c r="B30" s="16" t="s">
        <v>38</v>
      </c>
      <c r="C30" s="17">
        <f>-((I3+I5)*COS(F8))/(8*F2^3*I3*I5)</f>
        <v>-6237204.6313506197</v>
      </c>
      <c r="D30" s="15"/>
      <c r="E30" s="40" t="s">
        <v>61</v>
      </c>
      <c r="F30" s="41">
        <f>F18*(Interface!F17*Interface!F11^2)</f>
        <v>11.71588533635574</v>
      </c>
      <c r="G30" s="42" t="s">
        <v>61</v>
      </c>
      <c r="H30" s="41">
        <f>H18*(Interface!F17*Interface!F11^2)</f>
        <v>-29.302528826425519</v>
      </c>
      <c r="I30" s="38"/>
      <c r="J30" s="38"/>
      <c r="K30" s="65">
        <v>27</v>
      </c>
      <c r="L30" s="15">
        <f>K30*Interface!$F$11/100</f>
        <v>12.3444</v>
      </c>
      <c r="M30" s="59">
        <f t="shared" si="0"/>
        <v>2.1599913600345599E-3</v>
      </c>
      <c r="N30" s="15">
        <f>IF(M30&lt;$F$3,(1/(4*$F$2^2)*(COS($F$2)+$F$2*SIN($F$3)-COS(M30)-M30*SIN(M30))*SIN($F$8)+1/(4*$F$2)*(COS(M30)-COS($F$3))*TAN($I$10))*(Interface!$F$17*Interface!$F$11^2),(1/(4*Background!$F$2^2)*(COS(Background!$F$2)-COS(Background!M30)+(Background!$F$2-Background!M30)*SIN(Background!M30))*SIN(Background!$F$8))*(Interface!$F$17*Interface!$F$11^2))</f>
        <v>3.1712665040766921</v>
      </c>
      <c r="O30" s="15">
        <f>IF(M30&lt;$F$3,(1/(4*$F$2^2)*($C$3*SIN(M30)-M30*COS($F$8)))*(Interface!$F$17*Interface!$F$11^2),(1/(4*$F$2^2)*($F$2-M30-SIN($F$2-M30))*COS($F$8))*(Interface!$F$17*Interface!$F$11^2))</f>
        <v>1.9299019039634429</v>
      </c>
      <c r="P30" s="15">
        <f>IF(M30&lt;$F$3,(1/(4*$F$2^2)*(COS($F$8)-$C$3*COS(M30)))*(Interface!$F$17*Interface!$F$11^2),(1/(4*$F$2^2)*(1-COS($F$2-M30))*COS($F$8))*(Interface!$F$17*Interface!$F$11^2))</f>
        <v>-319.52284760273392</v>
      </c>
      <c r="Q30" s="15">
        <f>IF(M30&lt;$F$3,(1/(64*$F$2^4*$I$4)*((-4*$C$4+3*M30*SIN(M30)+($C$5-M30^2)*COS(M30))*SIN($F$8)+(4*$F$2*COS($F$3)-2*$F$2*M30*SIN(M30)+$C$6*COS(M30))*TAN($I$10)))*Interface!$F$11,(1/(64*$F$2^4*$I$4)*((4*(COS(M30)*1/COS($F$3)-1)*COS($F$2)+($C$7+3*M30)*SIN(M30)+($F$3-M30)*($C$8+M30)*COS(M30)-$C$9*COS(M30))*SIN($F$8)+$C$10*SIN($F$3-M30)*TAN($I$10)))*Interface!$F$11)</f>
        <v>1.8355193579429867E-3</v>
      </c>
      <c r="R30" s="15">
        <f>IF(M30&lt;$F$3,(1/(32*$F$2^4*$I$3*$I$5)*($C$21-$I$5*M30^2*COS($F$8)+$C$22*COS(M30)+$C$23*M30*SIN(M30)))*Interface!$F$11,(1/(64*$F$2^4*$I$3*$I$5)*($C$24+2*$F$2*$C$25*M30-$C$25*M30^2+$C$26*SIN(M30)+$C$27*COS(M30)+$C$28*M30*SIN(M30)+$C$29*M30*COS(M30)))*Interface!$F$11)</f>
        <v>7.3893514041686219E-3</v>
      </c>
      <c r="S30" s="60">
        <f t="shared" si="1"/>
        <v>-1.2224747067033279E-3</v>
      </c>
    </row>
    <row r="31" spans="2:19" ht="19.5" thickBot="1">
      <c r="B31" s="23" t="s">
        <v>39</v>
      </c>
      <c r="C31" s="24" t="e">
        <f>(I3+I5+4*F2^2*I6)/(16*F2^3*I5*I6*(I3+4*F2^2*I6))</f>
        <v>#DIV/0!</v>
      </c>
      <c r="D31" s="15"/>
      <c r="E31" s="40" t="s">
        <v>62</v>
      </c>
      <c r="F31" s="41">
        <f>F19*(Interface!F17*Interface!F11^2)</f>
        <v>-1180.4536595200918</v>
      </c>
      <c r="G31" s="42" t="s">
        <v>62</v>
      </c>
      <c r="H31" s="41">
        <f>H19*(Interface!F17*Interface!F11^2)</f>
        <v>2952.4253944861161</v>
      </c>
      <c r="I31" s="38"/>
      <c r="J31" s="38"/>
      <c r="K31" s="65">
        <v>28</v>
      </c>
      <c r="L31" s="15">
        <f>K31*Interface!$F$11/100</f>
        <v>12.801599999999999</v>
      </c>
      <c r="M31" s="59">
        <f t="shared" si="0"/>
        <v>2.2399910400358394E-3</v>
      </c>
      <c r="N31" s="15">
        <f>IF(M31&lt;$F$3,(1/(4*$F$2^2)*(COS($F$2)+$F$2*SIN($F$3)-COS(M31)-M31*SIN(M31))*SIN($F$8)+1/(4*$F$2)*(COS(M31)-COS($F$3))*TAN($I$10))*(Interface!$F$17*Interface!$F$11^2),(1/(4*Background!$F$2^2)*(COS(Background!$F$2)-COS(Background!M31)+(Background!$F$2-Background!M31)*SIN(Background!M31))*SIN(Background!$F$8))*(Interface!$F$17*Interface!$F$11^2))</f>
        <v>2.5266115710949251</v>
      </c>
      <c r="O31" s="15">
        <f>IF(M31&lt;$F$3,(1/(4*$F$2^2)*($C$3*SIN(M31)-M31*COS($F$8)))*(Interface!$F$17*Interface!$F$11^2),(1/(4*$F$2^2)*($F$2-M31-SIN($F$2-M31))*COS($F$8))*(Interface!$F$17*Interface!$F$11^2))</f>
        <v>1.9528812421456554</v>
      </c>
      <c r="P31" s="15">
        <f>IF(M31&lt;$F$3,(1/(4*$F$2^2)*(COS($F$8)-$C$3*COS(M31)))*(Interface!$F$17*Interface!$F$11^2),(1/(4*$F$2^2)*(1-COS($F$2-M31))*COS($F$8))*(Interface!$F$17*Interface!$F$11^2))</f>
        <v>-254.56924693512684</v>
      </c>
      <c r="Q31" s="15">
        <f>IF(M31&lt;$F$3,(1/(64*$F$2^4*$I$4)*((-4*$C$4+3*M31*SIN(M31)+($C$5-M31^2)*COS(M31))*SIN($F$8)+(4*$F$2*COS($F$3)-2*$F$2*M31*SIN(M31)+$C$6*COS(M31))*TAN($I$10)))*Interface!$F$11,(1/(64*$F$2^4*$I$4)*((4*(COS(M31)*1/COS($F$3)-1)*COS($F$2)+($C$7+3*M31)*SIN(M31)+($F$3-M31)*($C$8+M31)*COS(M31)-$C$9*COS(M31))*SIN($F$8)+$C$10*SIN($F$3-M31)*TAN($I$10)))*Interface!$F$11)</f>
        <v>1.6096908477050396E-3</v>
      </c>
      <c r="R31" s="15">
        <f>IF(M31&lt;$F$3,(1/(32*$F$2^4*$I$3*$I$5)*($C$21-$I$5*M31^2*COS($F$8)+$C$22*COS(M31)+$C$23*M31*SIN(M31)))*Interface!$F$11,(1/(64*$F$2^4*$I$3*$I$5)*($C$24+2*$F$2*$C$25*M31-$C$25*M31^2+$C$26*SIN(M31)+$C$27*COS(M31)+$C$28*M31*SIN(M31)+$C$29*M31*COS(M31)))*Interface!$F$11)</f>
        <v>6.4735628026240553E-3</v>
      </c>
      <c r="S31" s="60">
        <f t="shared" si="1"/>
        <v>-1.0720606780630626E-3</v>
      </c>
    </row>
    <row r="32" spans="2:19">
      <c r="E32" s="40" t="s">
        <v>45</v>
      </c>
      <c r="F32" s="41">
        <f>F20*Interface!F11</f>
        <v>5.3524514117383329E-3</v>
      </c>
      <c r="G32" s="42" t="s">
        <v>45</v>
      </c>
      <c r="H32" s="86">
        <f>H20*Interface!F11</f>
        <v>1.3201623746510054E-2</v>
      </c>
      <c r="I32" s="38"/>
      <c r="J32" s="38"/>
      <c r="K32" s="65">
        <v>29</v>
      </c>
      <c r="L32" s="15">
        <f>K32*Interface!$F$11/100</f>
        <v>13.258799999999999</v>
      </c>
      <c r="M32" s="59">
        <f t="shared" si="0"/>
        <v>2.3199907200371198E-3</v>
      </c>
      <c r="N32" s="15">
        <f>IF(M32&lt;$F$3,(1/(4*$F$2^2)*(COS($F$2)+$F$2*SIN($F$3)-COS(M32)-M32*SIN(M32))*SIN($F$8)+1/(4*$F$2)*(COS(M32)-COS($F$3))*TAN($I$10))*(Interface!$F$17*Interface!$F$11^2),(1/(4*Background!$F$2^2)*(COS(Background!$F$2)-COS(Background!M32)+(Background!$F$2-Background!M32)*SIN(Background!M32))*SIN(Background!$F$8))*(Interface!$F$17*Interface!$F$11^2))</f>
        <v>1.8585147600980862</v>
      </c>
      <c r="O32" s="15">
        <f>IF(M32&lt;$F$3,(1/(4*$F$2^2)*($C$3*SIN(M32)-M32*COS($F$8)))*(Interface!$F$17*Interface!$F$11^2),(1/(4*$F$2^2)*($F$2-M32-SIN($F$2-M32))*COS($F$8))*(Interface!$F$17*Interface!$F$11^2))</f>
        <v>1.970569835604508</v>
      </c>
      <c r="P32" s="15">
        <f>IF(M32&lt;$F$3,(1/(4*$F$2^2)*(COS($F$8)-$C$3*COS(M32)))*(Interface!$F$17*Interface!$F$11^2),(1/(4*$F$2^2)*(1-COS($F$2-M32))*COS($F$8))*(Interface!$F$17*Interface!$F$11^2))</f>
        <v>-187.25370120965681</v>
      </c>
      <c r="Q32" s="15">
        <f>IF(M32&lt;$F$3,(1/(64*$F$2^4*$I$4)*((-4*$C$4+3*M32*SIN(M32)+($C$5-M32^2)*COS(M32))*SIN($F$8)+(4*$F$2*COS($F$3)-2*$F$2*M32*SIN(M32)+$C$6*COS(M32))*TAN($I$10)))*Interface!$F$11,(1/(64*$F$2^4*$I$4)*((4*(COS(M32)*1/COS($F$3)-1)*COS($F$2)+($C$7+3*M32)*SIN(M32)+($F$3-M32)*($C$8+M32)*COS(M32)-$C$9*COS(M32))*SIN($F$8)+$C$10*SIN($F$3-M32)*TAN($I$10)))*Interface!$F$11)</f>
        <v>1.3814199821730393E-3</v>
      </c>
      <c r="R32" s="15">
        <f>IF(M32&lt;$F$3,(1/(32*$F$2^4*$I$3*$I$5)*($C$21-$I$5*M32^2*COS($F$8)+$C$22*COS(M32)+$C$23*M32*SIN(M32)))*Interface!$F$11,(1/(64*$F$2^4*$I$3*$I$5)*($C$24+2*$F$2*$C$25*M32-$C$25*M32^2+$C$26*SIN(M32)+$C$27*COS(M32)+$C$28*M32*SIN(M32)+$C$29*M32*COS(M32)))*Interface!$F$11)</f>
        <v>5.5642668907665465E-3</v>
      </c>
      <c r="S32" s="60">
        <f t="shared" si="1"/>
        <v>-9.200512709728626E-4</v>
      </c>
    </row>
    <row r="33" spans="5:19" ht="15" thickBot="1">
      <c r="E33" s="43" t="s">
        <v>46</v>
      </c>
      <c r="F33" s="44">
        <f>F21*Interface!F11</f>
        <v>2.1562422810491415E-2</v>
      </c>
      <c r="G33" s="45" t="s">
        <v>46</v>
      </c>
      <c r="H33" s="44">
        <f>H21*Interface!F11</f>
        <v>5.3197297537802439E-2</v>
      </c>
      <c r="I33" s="38"/>
      <c r="J33" s="38"/>
      <c r="K33" s="65">
        <v>30</v>
      </c>
      <c r="L33" s="15">
        <f>K33*Interface!$F$11/100</f>
        <v>13.715999999999999</v>
      </c>
      <c r="M33" s="59">
        <f t="shared" si="0"/>
        <v>2.3999904000383998E-3</v>
      </c>
      <c r="N33" s="15">
        <f>IF(M33&lt;$F$3,(1/(4*$F$2^2)*(COS($F$2)+$F$2*SIN($F$3)-COS(M33)-M33*SIN(M33))*SIN($F$8)+1/(4*$F$2)*(COS(M33)-COS($F$3))*TAN($I$10))*(Interface!$F$17*Interface!$F$11^2),(1/(4*Background!$F$2^2)*(COS(Background!$F$2)-COS(Background!M33)+(Background!$F$2-Background!M33)*SIN(Background!M33))*SIN(Background!$F$8))*(Interface!$F$17*Interface!$F$11^2))</f>
        <v>1.166976084122785</v>
      </c>
      <c r="O33" s="15">
        <f>IF(M33&lt;$F$3,(1/(4*$F$2^2)*($C$3*SIN(M33)-M33*COS($F$8)))*(Interface!$F$17*Interface!$F$11^2),(1/(4*$F$2^2)*($F$2-M33-SIN($F$2-M33))*COS($F$8))*(Interface!$F$17*Interface!$F$11^2))</f>
        <v>1.9827787295085801</v>
      </c>
      <c r="P33" s="15">
        <f>IF(M33&lt;$F$3,(1/(4*$F$2^2)*(COS($F$8)-$C$3*COS(M33)))*(Interface!$F$17*Interface!$F$11^2),(1/(4*$F$2^2)*(1-COS($F$2-M33))*COS($F$8))*(Interface!$F$17*Interface!$F$11^2))</f>
        <v>-117.57621083607923</v>
      </c>
      <c r="Q33" s="15">
        <f>IF(M33&lt;$F$3,(1/(64*$F$2^4*$I$4)*((-4*$C$4+3*M33*SIN(M33)+($C$5-M33^2)*COS(M33))*SIN($F$8)+(4*$F$2*COS($F$3)-2*$F$2*M33*SIN(M33)+$C$6*COS(M33))*TAN($I$10)))*Interface!$F$11,(1/(64*$F$2^4*$I$4)*((4*(COS(M33)*1/COS($F$3)-1)*COS($F$2)+($C$7+3*M33)*SIN(M33)+($F$3-M33)*($C$8+M33)*COS(M33)-$C$9*COS(M33))*SIN($F$8)+$C$10*SIN($F$3-M33)*TAN($I$10)))*Interface!$F$11)</f>
        <v>1.1514811666841246E-3</v>
      </c>
      <c r="R33" s="15">
        <f>IF(M33&lt;$F$3,(1/(32*$F$2^4*$I$3*$I$5)*($C$21-$I$5*M33^2*COS($F$8)+$C$22*COS(M33)+$C$23*M33*SIN(M33)))*Interface!$F$11,(1/(64*$F$2^4*$I$3*$I$5)*($C$24+2*$F$2*$C$25*M33-$C$25*M33^2+$C$26*SIN(M33)+$C$27*COS(M33)+$C$28*M33*SIN(M33)+$C$29*M33*COS(M33)))*Interface!$F$11)</f>
        <v>4.6409645999955949E-3</v>
      </c>
      <c r="S33" s="60">
        <f t="shared" si="1"/>
        <v>-7.6688404884080056E-4</v>
      </c>
    </row>
    <row r="34" spans="5:19">
      <c r="E34" s="38"/>
      <c r="F34" s="38"/>
      <c r="G34" s="38"/>
      <c r="H34" s="38"/>
      <c r="I34" s="38"/>
      <c r="J34" s="38"/>
      <c r="K34" s="65">
        <v>31</v>
      </c>
      <c r="L34" s="15">
        <f>K34*Interface!$F$11/100</f>
        <v>14.1732</v>
      </c>
      <c r="M34" s="59">
        <f t="shared" si="0"/>
        <v>2.4799900800396798E-3</v>
      </c>
      <c r="N34" s="15">
        <f>IF(M34&lt;$F$3,(1/(4*$F$2^2)*(COS($F$2)+$F$2*SIN($F$3)-COS(M34)-M34*SIN(M34))*SIN($F$8)+1/(4*$F$2)*(COS(M34)-COS($F$3))*TAN($I$10))*(Interface!$F$17*Interface!$F$11^2),(1/(4*Background!$F$2^2)*(COS(Background!$F$2)-COS(Background!M34)+(Background!$F$2-Background!M34)*SIN(Background!M34))*SIN(Background!$F$8))*(Interface!$F$17*Interface!$F$11^2))</f>
        <v>0.45199555639904454</v>
      </c>
      <c r="O34" s="15">
        <f>IF(M34&lt;$F$3,(1/(4*$F$2^2)*($C$3*SIN(M34)-M34*COS($F$8)))*(Interface!$F$17*Interface!$F$11^2),(1/(4*$F$2^2)*($F$2-M34-SIN($F$2-M34))*COS($F$8))*(Interface!$F$17*Interface!$F$11^2))</f>
        <v>1.9893189691865114</v>
      </c>
      <c r="P34" s="15">
        <f>IF(M34&lt;$F$3,(1/(4*$F$2^2)*(COS($F$8)-$C$3*COS(M34)))*(Interface!$F$17*Interface!$F$11^2),(1/(4*$F$2^2)*(1-COS($F$2-M34))*COS($F$8))*(Interface!$F$17*Interface!$F$11^2))</f>
        <v>-45.536776224149449</v>
      </c>
      <c r="Q34" s="15">
        <f>IF(M34&lt;$F$3,(1/(64*$F$2^4*$I$4)*((-4*$C$4+3*M34*SIN(M34)+($C$5-M34^2)*COS(M34))*SIN($F$8)+(4*$F$2*COS($F$3)-2*$F$2*M34*SIN(M34)+$C$6*COS(M34))*TAN($I$10)))*Interface!$F$11,(1/(64*$F$2^4*$I$4)*((4*(COS(M34)*1/COS($F$3)-1)*COS($F$2)+($C$7+3*M34)*SIN(M34)+($F$3-M34)*($C$8+M34)*COS(M34)-$C$9*COS(M34))*SIN($F$8)+$C$10*SIN($F$3-M34)*TAN($I$10)))*Interface!$F$11)</f>
        <v>9.2052966729279774E-4</v>
      </c>
      <c r="R34" s="15">
        <f>IF(M34&lt;$F$3,(1/(32*$F$2^4*$I$3*$I$5)*($C$21-$I$5*M34^2*COS($F$8)+$C$22*COS(M34)+$C$23*M34*SIN(M34)))*Interface!$F$11,(1/(64*$F$2^4*$I$3*$I$5)*($C$24+2*$F$2*$C$25*M34-$C$25*M34^2+$C$26*SIN(M34)+$C$27*COS(M34)+$C$28*M34*SIN(M34)+$C$29*M34*COS(M34)))*Interface!$F$11)</f>
        <v>3.7091258179903449E-3</v>
      </c>
      <c r="S34" s="60">
        <f t="shared" si="1"/>
        <v>-6.1302584733807135E-4</v>
      </c>
    </row>
    <row r="35" spans="5:19">
      <c r="E35" s="38"/>
      <c r="F35" s="38"/>
      <c r="G35" s="38"/>
      <c r="H35" s="38"/>
      <c r="I35" s="38"/>
      <c r="J35" s="38"/>
      <c r="K35" s="65">
        <v>32</v>
      </c>
      <c r="L35" s="15">
        <f>K35*Interface!$F$11/100</f>
        <v>14.6304</v>
      </c>
      <c r="M35" s="59">
        <f t="shared" si="0"/>
        <v>2.5599897600409598E-3</v>
      </c>
      <c r="N35" s="15">
        <f>IF(M35&lt;$F$3,(1/(4*$F$2^2)*(COS($F$2)+$F$2*SIN($F$3)-COS(M35)-M35*SIN(M35))*SIN($F$8)+1/(4*$F$2)*(COS(M35)-COS($F$3))*TAN($I$10))*(Interface!$F$17*Interface!$F$11^2),(1/(4*Background!$F$2^2)*(COS(Background!$F$2)-COS(Background!M35)+(Background!$F$2-Background!M35)*SIN(Background!M35))*SIN(Background!$F$8))*(Interface!$F$17*Interface!$F$11^2))</f>
        <v>-0.28642680964964923</v>
      </c>
      <c r="O35" s="15">
        <f>IF(M35&lt;$F$3,(1/(4*$F$2^2)*($C$3*SIN(M35)-M35*COS($F$8)))*(Interface!$F$17*Interface!$F$11^2),(1/(4*$F$2^2)*($F$2-M35-SIN($F$2-M35))*COS($F$8))*(Interface!$F$17*Interface!$F$11^2))</f>
        <v>1.9900015996468206</v>
      </c>
      <c r="P35" s="15">
        <f>IF(M35&lt;$F$3,(1/(4*$F$2^2)*(COS($F$8)-$C$3*COS(M35)))*(Interface!$F$17*Interface!$F$11^2),(1/(4*$F$2^2)*(1-COS($F$2-M35))*COS($F$8))*(Interface!$F$17*Interface!$F$11^2))</f>
        <v>28.86460209345061</v>
      </c>
      <c r="Q35" s="15">
        <f>IF(M35&lt;$F$3,(1/(64*$F$2^4*$I$4)*((-4*$C$4+3*M35*SIN(M35)+($C$5-M35^2)*COS(M35))*SIN($F$8)+(4*$F$2*COS($F$3)-2*$F$2*M35*SIN(M35)+$C$6*COS(M35))*TAN($I$10)))*Interface!$F$11,(1/(64*$F$2^4*$I$4)*((4*(COS(M35)*1/COS($F$3)-1)*COS($F$2)+($C$7+3*M35)*SIN(M35)+($F$3-M35)*($C$8+M35)*COS(M35)-$C$9*COS(M35))*SIN($F$8)+$C$10*SIN($F$3-M35)*TAN($I$10)))*Interface!$F$11)</f>
        <v>6.8904204112960532E-4</v>
      </c>
      <c r="R35" s="15">
        <f>IF(M35&lt;$F$3,(1/(32*$F$2^4*$I$3*$I$5)*($C$21-$I$5*M35^2*COS($F$8)+$C$22*COS(M35)+$C$23*M35*SIN(M35)))*Interface!$F$11,(1/(64*$F$2^4*$I$3*$I$5)*($C$24+2*$F$2*$C$25*M35-$C$25*M35^2+$C$26*SIN(M35)+$C$27*COS(M35)+$C$28*M35*SIN(M35)+$C$29*M35*COS(M35)))*Interface!$F$11)</f>
        <v>2.7540914633858E-3</v>
      </c>
      <c r="S35" s="60">
        <f t="shared" si="1"/>
        <v>-4.5881406790092256E-4</v>
      </c>
    </row>
    <row r="36" spans="5:19">
      <c r="E36" s="38"/>
      <c r="F36" s="38"/>
      <c r="G36" s="38"/>
      <c r="H36" s="38"/>
      <c r="I36" s="38"/>
      <c r="J36" s="38"/>
      <c r="K36" s="65">
        <v>33</v>
      </c>
      <c r="L36" s="15">
        <f>K36*Interface!$F$11/100</f>
        <v>15.0876</v>
      </c>
      <c r="M36" s="59">
        <f t="shared" si="0"/>
        <v>2.6399894400422398E-3</v>
      </c>
      <c r="N36" s="15">
        <f>IF(M36&lt;$F$3,(1/(4*$F$2^2)*(COS($F$2)+$F$2*SIN($F$3)-COS(M36)-M36*SIN(M36))*SIN($F$8)+1/(4*$F$2)*(COS(M36)-COS($F$3))*TAN($I$10))*(Interface!$F$17*Interface!$F$11^2),(1/(4*Background!$F$2^2)*(COS(Background!$F$2)-COS(Background!M36)+(Background!$F$2-Background!M36)*SIN(Background!M36))*SIN(Background!$F$8))*(Interface!$F$17*Interface!$F$11^2))</f>
        <v>-1.0482909991863885</v>
      </c>
      <c r="O36" s="15">
        <f>IF(M36&lt;$F$3,(1/(4*$F$2^2)*($C$3*SIN(M36)-M36*COS($F$8)))*(Interface!$F$17*Interface!$F$11^2),(1/(4*$F$2^2)*($F$2-M36-SIN($F$2-M36))*COS($F$8))*(Interface!$F$17*Interface!$F$11^2))</f>
        <v>1.9846376663782084</v>
      </c>
      <c r="P36" s="15">
        <f>IF(M36&lt;$F$3,(1/(4*$F$2^2)*(COS($F$8)-$C$3*COS(M36)))*(Interface!$F$17*Interface!$F$11^2),(1/(4*$F$2^2)*(1-COS($F$2-M36))*COS($F$8))*(Interface!$F$17*Interface!$F$11^2))</f>
        <v>105.62792374794115</v>
      </c>
      <c r="Q36" s="15">
        <f>IF(M36&lt;$F$3,(1/(64*$F$2^4*$I$4)*((-4*$C$4+3*M36*SIN(M36)+($C$5-M36^2)*COS(M36))*SIN($F$8)+(4*$F$2*COS($F$3)-2*$F$2*M36*SIN(M36)+$C$6*COS(M36))*TAN($I$10)))*Interface!$F$11,(1/(64*$F$2^4*$I$4)*((4*(COS(M36)*1/COS($F$3)-1)*COS($F$2)+($C$7+3*M36)*SIN(M36)+($F$3-M36)*($C$8+M36)*COS(M36)-$C$9*COS(M36))*SIN($F$8)+$C$10*SIN($F$3-M36)*TAN($I$10)))*Interface!$F$11)</f>
        <v>4.5773312389036801E-4</v>
      </c>
      <c r="R36" s="15">
        <f>IF(M36&lt;$F$3,(1/(32*$F$2^4*$I$3*$I$5)*($C$21-$I$5*M36^2*COS($F$8)+$C$22*COS(M36)+$C$23*M36*SIN(M36)))*Interface!$F$11,(1/(64*$F$2^4*$I$3*$I$5)*($C$24+2*$F$2*$C$25*M36-$C$25*M36^2+$C$26*SIN(M36)+$C$27*COS(M36)+$C$28*M36*SIN(M36)+$C$29*M36*COS(M36)))*Interface!$F$11)</f>
        <v>1.8332697870375421E-3</v>
      </c>
      <c r="S36" s="60">
        <f t="shared" si="1"/>
        <v>-3.0485345237617662E-4</v>
      </c>
    </row>
    <row r="37" spans="5:19">
      <c r="E37" s="38"/>
      <c r="F37" s="38"/>
      <c r="G37" s="38"/>
      <c r="H37" s="38"/>
      <c r="I37" s="38"/>
      <c r="J37" s="38"/>
      <c r="K37" s="65">
        <v>34</v>
      </c>
      <c r="L37" s="15">
        <f>K37*Interface!$F$11/100</f>
        <v>15.5448</v>
      </c>
      <c r="M37" s="59">
        <f t="shared" si="0"/>
        <v>2.7199891200435197E-3</v>
      </c>
      <c r="N37" s="15">
        <f>IF(M37&lt;$F$3,(1/(4*$F$2^2)*(COS($F$2)+$F$2*SIN($F$3)-COS(M37)-M37*SIN(M37))*SIN($F$8)+1/(4*$F$2)*(COS(M37)-COS($F$3))*TAN($I$10))*(Interface!$F$17*Interface!$F$11^2),(1/(4*Background!$F$2^2)*(COS(Background!$F$2)-COS(Background!M37)+(Background!$F$2-Background!M37)*SIN(Background!M37))*SIN(Background!$F$8))*(Interface!$F$17*Interface!$F$11^2))</f>
        <v>-1.8335969979941218</v>
      </c>
      <c r="O37" s="15">
        <f>IF(M37&lt;$F$3,(1/(4*$F$2^2)*($C$3*SIN(M37)-M37*COS($F$8)))*(Interface!$F$17*Interface!$F$11^2),(1/(4*$F$2^2)*($F$2-M37-SIN($F$2-M37))*COS($F$8))*(Interface!$F$17*Interface!$F$11^2))</f>
        <v>1.9730382145492538</v>
      </c>
      <c r="P37" s="15">
        <f>IF(M37&lt;$F$3,(1/(4*$F$2^2)*(COS($F$8)-$C$3*COS(M37)))*(Interface!$F$17*Interface!$F$11^2),(1/(4*$F$2^2)*(1-COS($F$2-M37))*COS($F$8))*(Interface!$F$17*Interface!$F$11^2))</f>
        <v>184.75318816566468</v>
      </c>
      <c r="Q37" s="15">
        <f>IF(M37&lt;$F$3,(1/(64*$F$2^4*$I$4)*((-4*$C$4+3*M37*SIN(M37)+($C$5-M37^2)*COS(M37))*SIN($F$8)+(4*$F$2*COS($F$3)-2*$F$2*M37*SIN(M37)+$C$6*COS(M37))*TAN($I$10)))*Interface!$F$11,(1/(64*$F$2^4*$I$4)*((4*(COS(M37)*1/COS($F$3)-1)*COS($F$2)+($C$7+3*M37)*SIN(M37)+($F$3-M37)*($C$8+M37)*COS(M37)-$C$9*COS(M37))*SIN($F$8)+$C$10*SIN($F$3-M37)*TAN($I$10)))*Interface!$F$11)</f>
        <v>2.2761559947749821E-4</v>
      </c>
      <c r="R37" s="15">
        <f>IF(M37&lt;$F$3,(1/(32*$F$2^4*$I$3*$I$5)*($C$21-$I$5*M37^2*COS($F$8)+$C$22*COS(M37)+$C$23*M37*SIN(M37)))*Interface!$F$11,(1/(64*$F$2^4*$I$3*$I$5)*($C$24+2*$F$2*$C$25*M37-$C$25*M37^2+$C$26*SIN(M37)+$C$27*COS(M37)+$C$28*M37*SIN(M37)+$C$29*M37*COS(M37)))*Interface!$F$11)</f>
        <v>9.032681601502785E-4</v>
      </c>
      <c r="S37" s="60">
        <f t="shared" si="1"/>
        <v>-1.5150027392358859E-4</v>
      </c>
    </row>
    <row r="38" spans="5:19">
      <c r="E38" s="38"/>
      <c r="F38" s="38"/>
      <c r="G38" s="38"/>
      <c r="H38" s="38"/>
      <c r="I38" s="38"/>
      <c r="J38" s="38"/>
      <c r="K38" s="65">
        <v>35</v>
      </c>
      <c r="L38" s="15">
        <f>K38*Interface!$F$11/100</f>
        <v>16.001999999999999</v>
      </c>
      <c r="M38" s="59">
        <f t="shared" si="0"/>
        <v>2.7999888000447997E-3</v>
      </c>
      <c r="N38" s="15">
        <f>IF(M38&lt;$F$3,(1/(4*$F$2^2)*(COS($F$2)+$F$2*SIN($F$3)-COS(M38)-M38*SIN(M38))*SIN($F$8)+1/(4*$F$2)*(COS(M38)-COS($F$3))*TAN($I$10))*(Interface!$F$17*Interface!$F$11^2),(1/(4*Background!$F$2^2)*(COS(Background!$F$2)-COS(Background!M38)+(Background!$F$2-Background!M38)*SIN(Background!M38))*SIN(Background!$F$8))*(Interface!$F$17*Interface!$F$11^2))</f>
        <v>-2.6372175024437001</v>
      </c>
      <c r="O38" s="15">
        <f>IF(M38&lt;$F$3,(1/(4*$F$2^2)*($C$3*SIN(M38)-M38*COS($F$8)))*(Interface!$F$17*Interface!$F$11^2),(1/(4*$F$2^2)*($F$2-M38-SIN($F$2-M38))*COS($F$8))*(Interface!$F$17*Interface!$F$11^2))</f>
        <v>0.10628702313107463</v>
      </c>
      <c r="P38" s="15">
        <f>IF(M38&lt;$F$3,(1/(4*$F$2^2)*(COS($F$8)-$C$3*COS(M38)))*(Interface!$F$17*Interface!$F$11^2),(1/(4*$F$2^2)*(1-COS($F$2-M38))*COS($F$8))*(Interface!$F$17*Interface!$F$11^2))</f>
        <v>265.71860790590631</v>
      </c>
      <c r="Q38" s="15">
        <f>IF(M38&lt;$F$3,(1/(64*$F$2^4*$I$4)*((-4*$C$4+3*M38*SIN(M38)+($C$5-M38^2)*COS(M38))*SIN($F$8)+(4*$F$2*COS($F$3)-2*$F$2*M38*SIN(M38)+$C$6*COS(M38))*TAN($I$10)))*Interface!$F$11,(1/(64*$F$2^4*$I$4)*((4*(COS(M38)*1/COS($F$3)-1)*COS($F$2)+($C$7+3*M38)*SIN(M38)+($F$3-M38)*($C$8+M38)*COS(M38)-$C$9*COS(M38))*SIN($F$8)+$C$10*SIN($F$3-M38)*TAN($I$10)))*Interface!$F$11)</f>
        <v>-9.9911769399060526E-7</v>
      </c>
      <c r="R38" s="15">
        <f>IF(M38&lt;$F$3,(1/(32*$F$2^4*$I$3*$I$5)*($C$21-$I$5*M38^2*COS($F$8)+$C$22*COS(M38)+$C$23*M38*SIN(M38)))*Interface!$F$11,(1/(64*$F$2^4*$I$3*$I$5)*($C$24+2*$F$2*$C$25*M38-$C$25*M38^2+$C$26*SIN(M38)+$C$27*COS(M38)+$C$28*M38*SIN(M38)+$C$29*M38*COS(M38)))*Interface!$F$11)</f>
        <v>-1.0910781991605266E-5</v>
      </c>
      <c r="S38" s="60">
        <f t="shared" si="1"/>
        <v>5.1616220165953072E-8</v>
      </c>
    </row>
    <row r="39" spans="5:19">
      <c r="E39" s="38"/>
      <c r="F39" s="38"/>
      <c r="G39" s="38"/>
      <c r="H39" s="38"/>
      <c r="I39" s="38"/>
      <c r="J39" s="38"/>
      <c r="K39" s="65">
        <v>36</v>
      </c>
      <c r="L39" s="15">
        <f>K39*Interface!$F$11/100</f>
        <v>16.459199999999999</v>
      </c>
      <c r="M39" s="59">
        <f t="shared" si="0"/>
        <v>2.8799884800460797E-3</v>
      </c>
      <c r="N39" s="15">
        <f>IF(M39&lt;$F$3,(1/(4*$F$2^2)*(COS($F$2)+$F$2*SIN($F$3)-COS(M39)-M39*SIN(M39))*SIN($F$8)+1/(4*$F$2)*(COS(M39)-COS($F$3))*TAN($I$10))*(Interface!$F$17*Interface!$F$11^2),(1/(4*Background!$F$2^2)*(COS(Background!$F$2)-COS(Background!M39)+(Background!$F$2-Background!M39)*SIN(Background!M39))*SIN(Background!$F$8))*(Interface!$F$17*Interface!$F$11^2))</f>
        <v>-2.2973090852016305</v>
      </c>
      <c r="O39" s="15">
        <f>IF(M39&lt;$F$3,(1/(4*$F$2^2)*($C$3*SIN(M39)-M39*COS($F$8)))*(Interface!$F$17*Interface!$F$11^2),(1/(4*$F$2^2)*($F$2-M39-SIN($F$2-M39))*COS($F$8))*(Interface!$F$17*Interface!$F$11^2))</f>
        <v>8.6415287182750378E-2</v>
      </c>
      <c r="P39" s="15">
        <f>IF(M39&lt;$F$3,(1/(4*$F$2^2)*(COS($F$8)-$C$3*COS(M39)))*(Interface!$F$17*Interface!$F$11^2),(1/(4*$F$2^2)*(1-COS($F$2-M39))*COS($F$8))*(Interface!$F$17*Interface!$F$11^2))</f>
        <v>231.47043536618429</v>
      </c>
      <c r="Q39" s="15">
        <f>IF(M39&lt;$F$3,(1/(64*$F$2^4*$I$4)*((-4*$C$4+3*M39*SIN(M39)+($C$5-M39^2)*COS(M39))*SIN($F$8)+(4*$F$2*COS($F$3)-2*$F$2*M39*SIN(M39)+$C$6*COS(M39))*TAN($I$10)))*Interface!$F$11,(1/(64*$F$2^4*$I$4)*((4*(COS(M39)*1/COS($F$3)-1)*COS($F$2)+($C$7+3*M39)*SIN(M39)+($F$3-M39)*($C$8+M39)*COS(M39)-$C$9*COS(M39))*SIN($F$8)+$C$10*SIN($F$3-M39)*TAN($I$10)))*Interface!$F$11)</f>
        <v>-2.2715804405449449E-4</v>
      </c>
      <c r="R39" s="15">
        <f>IF(M39&lt;$F$3,(1/(32*$F$2^4*$I$3*$I$5)*($C$21-$I$5*M39^2*COS($F$8)+$C$22*COS(M39)+$C$23*M39*SIN(M39)))*Interface!$F$11,(1/(64*$F$2^4*$I$3*$I$5)*($C$24+2*$F$2*$C$25*M39-$C$25*M39^2+$C$26*SIN(M39)+$C$27*COS(M39)+$C$28*M39*SIN(M39)+$C$29*M39*COS(M39)))*Interface!$F$11)</f>
        <v>-9.2936577312074638E-4</v>
      </c>
      <c r="S39" s="60">
        <f t="shared" si="1"/>
        <v>1.613412520887844E-5</v>
      </c>
    </row>
    <row r="40" spans="5:19">
      <c r="E40" s="38"/>
      <c r="F40" s="38"/>
      <c r="G40" s="38"/>
      <c r="H40" s="38"/>
      <c r="I40" s="38"/>
      <c r="J40" s="38"/>
      <c r="K40" s="65">
        <v>37</v>
      </c>
      <c r="L40" s="15">
        <f>K40*Interface!$F$11/100</f>
        <v>16.916399999999999</v>
      </c>
      <c r="M40" s="59">
        <f t="shared" si="0"/>
        <v>2.9599881600473597E-3</v>
      </c>
      <c r="N40" s="15">
        <f>IF(M40&lt;$F$3,(1/(4*$F$2^2)*(COS($F$2)+$F$2*SIN($F$3)-COS(M40)-M40*SIN(M40))*SIN($F$8)+1/(4*$F$2)*(COS(M40)-COS($F$3))*TAN($I$10))*(Interface!$F$17*Interface!$F$11^2),(1/(4*Background!$F$2^2)*(COS(Background!$F$2)-COS(Background!M40)+(Background!$F$2-Background!M40)*SIN(Background!M40))*SIN(Background!$F$8))*(Interface!$F$17*Interface!$F$11^2))</f>
        <v>-1.9808427010287015</v>
      </c>
      <c r="O40" s="15">
        <f>IF(M40&lt;$F$3,(1/(4*$F$2^2)*($C$3*SIN(M40)-M40*COS($F$8)))*(Interface!$F$17*Interface!$F$11^2),(1/(4*$F$2^2)*($F$2-M40-SIN($F$2-M40))*COS($F$8))*(Interface!$F$17*Interface!$F$11^2))</f>
        <v>6.9188916717014423E-2</v>
      </c>
      <c r="P40" s="15">
        <f>IF(M40&lt;$F$3,(1/(4*$F$2^2)*(COS($F$8)-$C$3*COS(M40)))*(Interface!$F$17*Interface!$F$11^2),(1/(4*$F$2^2)*(1-COS($F$2-M40))*COS($F$8))*(Interface!$F$17*Interface!$F$11^2))</f>
        <v>199.5842047726332</v>
      </c>
      <c r="Q40" s="15">
        <f>IF(M40&lt;$F$3,(1/(64*$F$2^4*$I$4)*((-4*$C$4+3*M40*SIN(M40)+($C$5-M40^2)*COS(M40))*SIN($F$8)+(4*$F$2*COS($F$3)-2*$F$2*M40*SIN(M40)+$C$6*COS(M40))*TAN($I$10)))*Interface!$F$11,(1/(64*$F$2^4*$I$4)*((4*(COS(M40)*1/COS($F$3)-1)*COS($F$2)+($C$7+3*M40)*SIN(M40)+($F$3-M40)*($C$8+M40)*COS(M40)-$C$9*COS(M40))*SIN($F$8)+$C$10*SIN($F$3-M40)*TAN($I$10)))*Interface!$F$11)</f>
        <v>-4.5116853854932341E-4</v>
      </c>
      <c r="R40" s="15">
        <f>IF(M40&lt;$F$3,(1/(32*$F$2^4*$I$3*$I$5)*($C$21-$I$5*M40^2*COS($F$8)+$C$22*COS(M40)+$C$23*M40*SIN(M40)))*Interface!$F$11,(1/(64*$F$2^4*$I$3*$I$5)*($C$24+2*$F$2*$C$25*M40-$C$25*M40^2+$C$26*SIN(M40)+$C$27*COS(M40)+$C$28*M40*SIN(M40)+$C$29*M40*COS(M40)))*Interface!$F$11)</f>
        <v>-1.8357685800153888E-3</v>
      </c>
      <c r="S40" s="60">
        <f t="shared" si="1"/>
        <v>3.0882646393754881E-5</v>
      </c>
    </row>
    <row r="41" spans="5:19">
      <c r="K41" s="65">
        <v>38</v>
      </c>
      <c r="L41" s="15">
        <f>K41*Interface!$F$11/100</f>
        <v>17.3736</v>
      </c>
      <c r="M41" s="59">
        <f t="shared" si="0"/>
        <v>3.0399878400486397E-3</v>
      </c>
      <c r="N41" s="15">
        <f>IF(M41&lt;$F$3,(1/(4*$F$2^2)*(COS($F$2)+$F$2*SIN($F$3)-COS(M41)-M41*SIN(M41))*SIN($F$8)+1/(4*$F$2)*(COS(M41)-COS($F$3))*TAN($I$10))*(Interface!$F$17*Interface!$F$11^2),(1/(4*Background!$F$2^2)*(COS(Background!$F$2)-COS(Background!M41)+(Background!$F$2-Background!M41)*SIN(Background!M41))*SIN(Background!$F$8))*(Interface!$F$17*Interface!$F$11^2))</f>
        <v>-1.6878183399954862</v>
      </c>
      <c r="O41" s="15">
        <f>IF(M41&lt;$F$3,(1/(4*$F$2^2)*($C$3*SIN(M41)-M41*COS($F$8)))*(Interface!$F$17*Interface!$F$11^2),(1/(4*$F$2^2)*($F$2-M41-SIN($F$2-M41))*COS($F$8))*(Interface!$F$17*Interface!$F$11^2))</f>
        <v>5.4418957245172692E-2</v>
      </c>
      <c r="P41" s="15">
        <f>IF(M41&lt;$F$3,(1/(4*$F$2^2)*(COS($F$8)-$C$3*COS(M41)))*(Interface!$F$17*Interface!$F$11^2),(1/(4*$F$2^2)*(1-COS($F$2-M41))*COS($F$8))*(Interface!$F$17*Interface!$F$11^2))</f>
        <v>170.05991641206765</v>
      </c>
      <c r="Q41" s="15">
        <f>IF(M41&lt;$F$3,(1/(64*$F$2^4*$I$4)*((-4*$C$4+3*M41*SIN(M41)+($C$5-M41^2)*COS(M41))*SIN($F$8)+(4*$F$2*COS($F$3)-2*$F$2*M41*SIN(M41)+$C$6*COS(M41))*TAN($I$10)))*Interface!$F$11,(1/(64*$F$2^4*$I$4)*((4*(COS(M41)*1/COS($F$3)-1)*COS($F$2)+($C$7+3*M41)*SIN(M41)+($F$3-M41)*($C$8+M41)*COS(M41)-$C$9*COS(M41))*SIN($F$8)+$C$10*SIN($F$3-M41)*TAN($I$10)))*Interface!$F$11)</f>
        <v>-6.7341461234438516E-4</v>
      </c>
      <c r="R41" s="15">
        <f>IF(M41&lt;$F$3,(1/(32*$F$2^4*$I$3*$I$5)*($C$21-$I$5*M41^2*COS($F$8)+$C$22*COS(M41)+$C$23*M41*SIN(M41)))*Interface!$F$11,(1/(64*$F$2^4*$I$3*$I$5)*($C$24+2*$F$2*$C$25*M41-$C$25*M41^2+$C$26*SIN(M41)+$C$27*COS(M41)+$C$28*M41*SIN(M41)+$C$29*M41*COS(M41)))*Interface!$F$11)</f>
        <v>-2.7215147451866589E-3</v>
      </c>
      <c r="S41" s="60">
        <f t="shared" si="1"/>
        <v>4.4326455014318997E-5</v>
      </c>
    </row>
    <row r="42" spans="5:19">
      <c r="K42" s="65">
        <v>39</v>
      </c>
      <c r="L42" s="15">
        <f>K42*Interface!$F$11/100</f>
        <v>17.8308</v>
      </c>
      <c r="M42" s="59">
        <f t="shared" si="0"/>
        <v>3.1199875200499196E-3</v>
      </c>
      <c r="N42" s="15">
        <f>IF(M42&lt;$F$3,(1/(4*$F$2^2)*(COS($F$2)+$F$2*SIN($F$3)-COS(M42)-M42*SIN(M42))*SIN($F$8)+1/(4*$F$2)*(COS(M42)-COS($F$3))*TAN($I$10))*(Interface!$F$17*Interface!$F$11^2),(1/(4*Background!$F$2^2)*(COS(Background!$F$2)-COS(Background!M42)+(Background!$F$2-Background!M42)*SIN(Background!M42))*SIN(Background!$F$8))*(Interface!$F$17*Interface!$F$11^2))</f>
        <v>-1.4182359936057343</v>
      </c>
      <c r="O42" s="15">
        <f>IF(M42&lt;$F$3,(1/(4*$F$2^2)*($C$3*SIN(M42)-M42*COS($F$8)))*(Interface!$F$17*Interface!$F$11^2),(1/(4*$F$2^2)*($F$2-M42-SIN($F$2-M42))*COS($F$8))*(Interface!$F$17*Interface!$F$11^2))</f>
        <v>4.1916454078465087E-2</v>
      </c>
      <c r="P42" s="15">
        <f>IF(M42&lt;$F$3,(1/(4*$F$2^2)*(COS($F$8)-$C$3*COS(M42)))*(Interface!$F$17*Interface!$F$11^2),(1/(4*$F$2^2)*(1-COS($F$2-M42))*COS($F$8))*(Interface!$F$17*Interface!$F$11^2))</f>
        <v>142.89757040740818</v>
      </c>
      <c r="Q42" s="15">
        <f>IF(M42&lt;$F$3,(1/(64*$F$2^4*$I$4)*((-4*$C$4+3*M42*SIN(M42)+($C$5-M42^2)*COS(M42))*SIN($F$8)+(4*$F$2*COS($F$3)-2*$F$2*M42*SIN(M42)+$C$6*COS(M42))*TAN($I$10)))*Interface!$F$11,(1/(64*$F$2^4*$I$4)*((4*(COS(M42)*1/COS($F$3)-1)*COS($F$2)+($C$7+3*M42)*SIN(M42)+($F$3-M42)*($C$8+M42)*COS(M42)-$C$9*COS(M42))*SIN($F$8)+$C$10*SIN($F$3-M42)*TAN($I$10)))*Interface!$F$11)</f>
        <v>-8.9404200005707051E-4</v>
      </c>
      <c r="R42" s="15">
        <f>IF(M42&lt;$F$3,(1/(32*$F$2^4*$I$3*$I$5)*($C$21-$I$5*M42^2*COS($F$8)+$C$22*COS(M42)+$C$23*M42*SIN(M42)))*Interface!$F$11,(1/(64*$F$2^4*$I$3*$I$5)*($C$24+2*$F$2*$C$25*M42-$C$25*M42^2+$C$26*SIN(M42)+$C$27*COS(M42)+$C$28*M42*SIN(M42)+$C$29*M42*COS(M42)))*Interface!$F$11)</f>
        <v>-3.6096534016517136E-3</v>
      </c>
      <c r="S42" s="60">
        <f t="shared" si="1"/>
        <v>5.6696629418929087E-5</v>
      </c>
    </row>
    <row r="43" spans="5:19">
      <c r="K43" s="65">
        <v>40</v>
      </c>
      <c r="L43" s="15">
        <f>K43*Interface!$F$11/100</f>
        <v>18.288</v>
      </c>
      <c r="M43" s="59">
        <f t="shared" si="0"/>
        <v>3.1999872000511996E-3</v>
      </c>
      <c r="N43" s="15">
        <f>IF(M43&lt;$F$3,(1/(4*$F$2^2)*(COS($F$2)+$F$2*SIN($F$3)-COS(M43)-M43*SIN(M43))*SIN($F$8)+1/(4*$F$2)*(COS(M43)-COS($F$3))*TAN($I$10))*(Interface!$F$17*Interface!$F$11^2),(1/(4*Background!$F$2^2)*(COS(Background!$F$2)-COS(Background!M43)+(Background!$F$2-Background!M43)*SIN(Background!M43))*SIN(Background!$F$8))*(Interface!$F$17*Interface!$F$11^2))</f>
        <v>-1.1720956519497749</v>
      </c>
      <c r="O43" s="15">
        <f>IF(M43&lt;$F$3,(1/(4*$F$2^2)*($C$3*SIN(M43)-M43*COS($F$8)))*(Interface!$F$17*Interface!$F$11^2),(1/(4*$F$2^2)*($F$2-M43-SIN($F$2-M43))*COS($F$8))*(Interface!$F$17*Interface!$F$11^2))</f>
        <v>3.1492452568144751E-2</v>
      </c>
      <c r="P43" s="15">
        <f>IF(M43&lt;$F$3,(1/(4*$F$2^2)*(COS($F$8)-$C$3*COS(M43)))*(Interface!$F$17*Interface!$F$11^2),(1/(4*$F$2^2)*(1-COS($F$2-M43))*COS($F$8))*(Interface!$F$17*Interface!$F$11^2))</f>
        <v>118.09716696352234</v>
      </c>
      <c r="Q43" s="15">
        <f>IF(M43&lt;$F$3,(1/(64*$F$2^4*$I$4)*((-4*$C$4+3*M43*SIN(M43)+($C$5-M43^2)*COS(M43))*SIN($F$8)+(4*$F$2*COS($F$3)-2*$F$2*M43*SIN(M43)+$C$6*COS(M43))*TAN($I$10)))*Interface!$F$11,(1/(64*$F$2^4*$I$4)*((4*(COS(M43)*1/COS($F$3)-1)*COS($F$2)+($C$7+3*M43)*SIN(M43)+($F$3-M43)*($C$8+M43)*COS(M43)-$C$9*COS(M43))*SIN($F$8)+$C$10*SIN($F$3-M43)*TAN($I$10)))*Interface!$F$11)</f>
        <v>-1.1132560050655332E-3</v>
      </c>
      <c r="R43" s="15">
        <f>IF(M43&lt;$F$3,(1/(32*$F$2^4*$I$3*$I$5)*($C$21-$I$5*M43^2*COS($F$8)+$C$22*COS(M43)+$C$23*M43*SIN(M43)))*Interface!$F$11,(1/(64*$F$2^4*$I$3*$I$5)*($C$24+2*$F$2*$C$25*M43-$C$25*M43^2+$C$26*SIN(M43)+$C$27*COS(M43)+$C$28*M43*SIN(M43)+$C$29*M43*COS(M43)))*Interface!$F$11)</f>
        <v>-4.5087888310488301E-3</v>
      </c>
      <c r="S43" s="60">
        <f t="shared" si="1"/>
        <v>6.8252739989592073E-5</v>
      </c>
    </row>
    <row r="44" spans="5:19">
      <c r="K44" s="65">
        <v>41</v>
      </c>
      <c r="L44" s="15">
        <f>K44*Interface!$F$11/100</f>
        <v>18.745200000000001</v>
      </c>
      <c r="M44" s="59">
        <f t="shared" si="0"/>
        <v>3.27998688005248E-3</v>
      </c>
      <c r="N44" s="15">
        <f>IF(M44&lt;$F$3,(1/(4*$F$2^2)*(COS($F$2)+$F$2*SIN($F$3)-COS(M44)-M44*SIN(M44))*SIN($F$8)+1/(4*$F$2)*(COS(M44)-COS($F$3))*TAN($I$10))*(Interface!$F$17*Interface!$F$11^2),(1/(4*Background!$F$2^2)*(COS(Background!$F$2)-COS(Background!M44)+(Background!$F$2-Background!M44)*SIN(Background!M44))*SIN(Background!$F$8))*(Interface!$F$17*Interface!$F$11^2))</f>
        <v>-0.94939730411116507</v>
      </c>
      <c r="O44" s="15">
        <f>IF(M44&lt;$F$3,(1/(4*$F$2^2)*($C$3*SIN(M44)-M44*COS($F$8)))*(Interface!$F$17*Interface!$F$11^2),(1/(4*$F$2^2)*($F$2-M44-SIN($F$2-M44))*COS($F$8))*(Interface!$F$17*Interface!$F$11^2))</f>
        <v>2.295799806546479E-2</v>
      </c>
      <c r="P44" s="15">
        <f>IF(M44&lt;$F$3,(1/(4*$F$2^2)*(COS($F$8)-$C$3*COS(M44)))*(Interface!$F$17*Interface!$F$11^2),(1/(4*$F$2^2)*(1-COS($F$2-M44))*COS($F$8))*(Interface!$F$17*Interface!$F$11^2))</f>
        <v>95.658706203330723</v>
      </c>
      <c r="Q44" s="15">
        <f>IF(M44&lt;$F$3,(1/(64*$F$2^4*$I$4)*((-4*$C$4+3*M44*SIN(M44)+($C$5-M44^2)*COS(M44))*SIN($F$8)+(4*$F$2*COS($F$3)-2*$F$2*M44*SIN(M44)+$C$6*COS(M44))*TAN($I$10)))*Interface!$F$11,(1/(64*$F$2^4*$I$4)*((4*(COS(M44)*1/COS($F$3)-1)*COS($F$2)+($C$7+3*M44)*SIN(M44)+($F$3-M44)*($C$8+M44)*COS(M44)-$C$9*COS(M44))*SIN($F$8)+$C$10*SIN($F$3-M44)*TAN($I$10)))*Interface!$F$11)</f>
        <v>-1.3315002070407984E-3</v>
      </c>
      <c r="R44" s="15">
        <f>IF(M44&lt;$F$3,(1/(32*$F$2^4*$I$3*$I$5)*($C$21-$I$5*M44^2*COS($F$8)+$C$22*COS(M44)+$C$23*M44*SIN(M44)))*Interface!$F$11,(1/(64*$F$2^4*$I$3*$I$5)*($C$24+2*$F$2*$C$25*M44-$C$25*M44^2+$C$26*SIN(M44)+$C$27*COS(M44)+$C$28*M44*SIN(M44)+$C$29*M44*COS(M44)))*Interface!$F$11)</f>
        <v>-5.3785076213833253E-3</v>
      </c>
      <c r="S44" s="60">
        <f t="shared" si="1"/>
        <v>7.8994009690878752E-5</v>
      </c>
    </row>
    <row r="45" spans="5:19">
      <c r="K45" s="65">
        <v>42</v>
      </c>
      <c r="L45" s="15">
        <f>K45*Interface!$F$11/100</f>
        <v>19.202400000000001</v>
      </c>
      <c r="M45" s="59">
        <f t="shared" si="0"/>
        <v>3.35998656005376E-3</v>
      </c>
      <c r="N45" s="15">
        <f>IF(M45&lt;$F$3,(1/(4*$F$2^2)*(COS($F$2)+$F$2*SIN($F$3)-COS(M45)-M45*SIN(M45))*SIN($F$8)+1/(4*$F$2)*(COS(M45)-COS($F$3))*TAN($I$10))*(Interface!$F$17*Interface!$F$11^2),(1/(4*Background!$F$2^2)*(COS(Background!$F$2)-COS(Background!M45)+(Background!$F$2-Background!M45)*SIN(Background!M45))*SIN(Background!$F$8))*(Interface!$F$17*Interface!$F$11^2))</f>
        <v>-0.7501409401999839</v>
      </c>
      <c r="O45" s="15">
        <f>IF(M45&lt;$F$3,(1/(4*$F$2^2)*($C$3*SIN(M45)-M45*COS($F$8)))*(Interface!$F$17*Interface!$F$11^2),(1/(4*$F$2^2)*($F$2-M45-SIN($F$2-M45))*COS($F$8))*(Interface!$F$17*Interface!$F$11^2))</f>
        <v>1.6124135881665128E-2</v>
      </c>
      <c r="P45" s="15">
        <f>IF(M45&lt;$F$3,(1/(4*$F$2^2)*(COS($F$8)-$C$3*COS(M45)))*(Interface!$F$17*Interface!$F$11^2),(1/(4*$F$2^2)*(1-COS($F$2-M45))*COS($F$8))*(Interface!$F$17*Interface!$F$11^2))</f>
        <v>75.582188290727345</v>
      </c>
      <c r="Q45" s="15">
        <f>IF(M45&lt;$F$3,(1/(64*$F$2^4*$I$4)*((-4*$C$4+3*M45*SIN(M45)+($C$5-M45^2)*COS(M45))*SIN($F$8)+(4*$F$2*COS($F$3)-2*$F$2*M45*SIN(M45)+$C$6*COS(M45))*TAN($I$10)))*Interface!$F$11,(1/(64*$F$2^4*$I$4)*((4*(COS(M45)*1/COS($F$3)-1)*COS($F$2)+($C$7+3*M45)*SIN(M45)+($F$3-M45)*($C$8+M45)*COS(M45)-$C$9*COS(M45))*SIN($F$8)+$C$10*SIN($F$3-M45)*TAN($I$10)))*Interface!$F$11)</f>
        <v>-1.5487416324432375E-3</v>
      </c>
      <c r="R45" s="15">
        <f>IF(M45&lt;$F$3,(1/(32*$F$2^4*$I$3*$I$5)*($C$21-$I$5*M45^2*COS($F$8)+$C$22*COS(M45)+$C$23*M45*SIN(M45)))*Interface!$F$11,(1/(64*$F$2^4*$I$3*$I$5)*($C$24+2*$F$2*$C$25*M45-$C$25*M45^2+$C$26*SIN(M45)+$C$27*COS(M45)+$C$28*M45*SIN(M45)+$C$29*M45*COS(M45)))*Interface!$F$11)</f>
        <v>-6.2561475137984761E-3</v>
      </c>
      <c r="S45" s="60">
        <f t="shared" si="1"/>
        <v>8.9236997379554689E-5</v>
      </c>
    </row>
    <row r="46" spans="5:19">
      <c r="K46" s="65">
        <v>43</v>
      </c>
      <c r="L46" s="15">
        <f>K46*Interface!$F$11/100</f>
        <v>19.659600000000001</v>
      </c>
      <c r="M46" s="59">
        <f t="shared" si="0"/>
        <v>3.43998624005504E-3</v>
      </c>
      <c r="N46" s="15">
        <f>IF(M46&lt;$F$3,(1/(4*$F$2^2)*(COS($F$2)+$F$2*SIN($F$3)-COS(M46)-M46*SIN(M46))*SIN($F$8)+1/(4*$F$2)*(COS(M46)-COS($F$3))*TAN($I$10))*(Interface!$F$17*Interface!$F$11^2),(1/(4*Background!$F$2^2)*(COS(Background!$F$2)-COS(Background!M46)+(Background!$F$2-Background!M46)*SIN(Background!M46))*SIN(Background!$F$8))*(Interface!$F$17*Interface!$F$11^2))</f>
        <v>-0.57432654850623022</v>
      </c>
      <c r="O46" s="15">
        <f>IF(M46&lt;$F$3,(1/(4*$F$2^2)*($C$3*SIN(M46)-M46*COS($F$8)))*(Interface!$F$17*Interface!$F$11^2),(1/(4*$F$2^2)*($F$2-M46-SIN($F$2-M46))*COS($F$8))*(Interface!$F$17*Interface!$F$11^2))</f>
        <v>1.0801911408012082E-2</v>
      </c>
      <c r="P46" s="15">
        <f>IF(M46&lt;$F$3,(1/(4*$F$2^2)*(COS($F$8)-$C$3*COS(M46)))*(Interface!$F$17*Interface!$F$11^2),(1/(4*$F$2^2)*(1-COS($F$2-M46))*COS($F$8))*(Interface!$F$17*Interface!$F$11^2))</f>
        <v>57.867613389606298</v>
      </c>
      <c r="Q46" s="15">
        <f>IF(M46&lt;$F$3,(1/(64*$F$2^4*$I$4)*((-4*$C$4+3*M46*SIN(M46)+($C$5-M46^2)*COS(M46))*SIN($F$8)+(4*$F$2*COS($F$3)-2*$F$2*M46*SIN(M46)+$C$6*COS(M46))*TAN($I$10)))*Interface!$F$11,(1/(64*$F$2^4*$I$4)*((4*(COS(M46)*1/COS($F$3)-1)*COS($F$2)+($C$7+3*M46)*SIN(M46)+($F$3-M46)*($C$8+M46)*COS(M46)-$C$9*COS(M46))*SIN($F$8)+$C$10*SIN($F$3-M46)*TAN($I$10)))*Interface!$F$11)</f>
        <v>-1.765304724331311E-3</v>
      </c>
      <c r="R46" s="15">
        <f>IF(M46&lt;$F$3,(1/(32*$F$2^4*$I$3*$I$5)*($C$21-$I$5*M46^2*COS($F$8)+$C$22*COS(M46)+$C$23*M46*SIN(M46)))*Interface!$F$11,(1/(64*$F$2^4*$I$3*$I$5)*($C$24+2*$F$2*$C$25*M46-$C$25*M46^2+$C$26*SIN(M46)+$C$27*COS(M46)+$C$28*M46*SIN(M46)+$C$29*M46*COS(M46)))*Interface!$F$11)</f>
        <v>-7.1185039233520467E-3</v>
      </c>
      <c r="S46" s="60">
        <f t="shared" si="1"/>
        <v>9.8922374659650945E-5</v>
      </c>
    </row>
    <row r="47" spans="5:19">
      <c r="K47" s="65">
        <v>44</v>
      </c>
      <c r="L47" s="15">
        <f>K47*Interface!$F$11/100</f>
        <v>20.116799999999998</v>
      </c>
      <c r="M47" s="59">
        <f t="shared" si="0"/>
        <v>3.5199859200563195E-3</v>
      </c>
      <c r="N47" s="15">
        <f>IF(M47&lt;$F$3,(1/(4*$F$2^2)*(COS($F$2)+$F$2*SIN($F$3)-COS(M47)-M47*SIN(M47))*SIN($F$8)+1/(4*$F$2)*(COS(M47)-COS($F$3))*TAN($I$10))*(Interface!$F$17*Interface!$F$11^2),(1/(4*Background!$F$2^2)*(COS(Background!$F$2)-COS(Background!M47)+(Background!$F$2-Background!M47)*SIN(Background!M47))*SIN(Background!$F$8))*(Interface!$F$17*Interface!$F$11^2))</f>
        <v>-0.42195411753310713</v>
      </c>
      <c r="O47" s="15">
        <f>IF(M47&lt;$F$3,(1/(4*$F$2^2)*($C$3*SIN(M47)-M47*COS($F$8)))*(Interface!$F$17*Interface!$F$11^2),(1/(4*$F$2^2)*($F$2-M47-SIN($F$2-M47))*COS($F$8))*(Interface!$F$17*Interface!$F$11^2))</f>
        <v>6.8023698957257791E-3</v>
      </c>
      <c r="P47" s="15">
        <f>IF(M47&lt;$F$3,(1/(4*$F$2^2)*(COS($F$8)-$C$3*COS(M47)))*(Interface!$F$17*Interface!$F$11^2),(1/(4*$F$2^2)*(1-COS($F$2-M47))*COS($F$8))*(Interface!$F$17*Interface!$F$11^2))</f>
        <v>42.514981540941093</v>
      </c>
      <c r="Q47" s="15">
        <f>IF(M47&lt;$F$3,(1/(64*$F$2^4*$I$4)*((-4*$C$4+3*M47*SIN(M47)+($C$5-M47^2)*COS(M47))*SIN($F$8)+(4*$F$2*COS($F$3)-2*$F$2*M47*SIN(M47)+$C$6*COS(M47))*TAN($I$10)))*Interface!$F$11,(1/(64*$F$2^4*$I$4)*((4*(COS(M47)*1/COS($F$3)-1)*COS($F$2)+($C$7+3*M47)*SIN(M47)+($F$3-M47)*($C$8+M47)*COS(M47)-$C$9*COS(M47))*SIN($F$8)+$C$10*SIN($F$3-M47)*TAN($I$10)))*Interface!$F$11)</f>
        <v>-1.9813947843220605E-3</v>
      </c>
      <c r="R47" s="15">
        <f>IF(M47&lt;$F$3,(1/(32*$F$2^4*$I$3*$I$5)*($C$21-$I$5*M47^2*COS($F$8)+$C$22*COS(M47)+$C$23*M47*SIN(M47)))*Interface!$F$11,(1/(64*$F$2^4*$I$3*$I$5)*($C$24+2*$F$2*$C$25*M47-$C$25*M47^2+$C$26*SIN(M47)+$C$27*COS(M47)+$C$28*M47*SIN(M47)+$C$29*M47*COS(M47)))*Interface!$F$11)</f>
        <v>-7.9970746808864443E-3</v>
      </c>
      <c r="S47" s="60">
        <f t="shared" si="1"/>
        <v>1.0825038307645939E-4</v>
      </c>
    </row>
    <row r="48" spans="5:19">
      <c r="K48" s="65">
        <v>45</v>
      </c>
      <c r="L48" s="15">
        <f>K48*Interface!$F$11/100</f>
        <v>20.574000000000002</v>
      </c>
      <c r="M48" s="59">
        <f t="shared" si="0"/>
        <v>3.5999856000576E-3</v>
      </c>
      <c r="N48" s="15">
        <f>IF(M48&lt;$F$3,(1/(4*$F$2^2)*(COS($F$2)+$F$2*SIN($F$3)-COS(M48)-M48*SIN(M48))*SIN($F$8)+1/(4*$F$2)*(COS(M48)-COS($F$3))*TAN($I$10))*(Interface!$F$17*Interface!$F$11^2),(1/(4*Background!$F$2^2)*(COS(Background!$F$2)-COS(Background!M48)+(Background!$F$2-Background!M48)*SIN(Background!M48))*SIN(Background!$F$8))*(Interface!$F$17*Interface!$F$11^2))</f>
        <v>-0.29302363559038258</v>
      </c>
      <c r="O48" s="15">
        <f>IF(M48&lt;$F$3,(1/(4*$F$2^2)*($C$3*SIN(M48)-M48*COS($F$8)))*(Interface!$F$17*Interface!$F$11^2),(1/(4*$F$2^2)*($F$2-M48-SIN($F$2-M48))*COS($F$8))*(Interface!$F$17*Interface!$F$11^2))</f>
        <v>3.9365566560461418E-3</v>
      </c>
      <c r="P48" s="15">
        <f>IF(M48&lt;$F$3,(1/(4*$F$2^2)*(COS($F$8)-$C$3*COS(M48)))*(Interface!$F$17*Interface!$F$11^2),(1/(4*$F$2^2)*(1-COS($F$2-M48))*COS($F$8))*(Interface!$F$17*Interface!$F$11^2))</f>
        <v>29.524292908625775</v>
      </c>
      <c r="Q48" s="15">
        <f>IF(M48&lt;$F$3,(1/(64*$F$2^4*$I$4)*((-4*$C$4+3*M48*SIN(M48)+($C$5-M48^2)*COS(M48))*SIN($F$8)+(4*$F$2*COS($F$3)-2*$F$2*M48*SIN(M48)+$C$6*COS(M48))*TAN($I$10)))*Interface!$F$11,(1/(64*$F$2^4*$I$4)*((4*(COS(M48)*1/COS($F$3)-1)*COS($F$2)+($C$7+3*M48)*SIN(M48)+($F$3-M48)*($C$8+M48)*COS(M48)-$C$9*COS(M48))*SIN($F$8)+$C$10*SIN($F$3-M48)*TAN($I$10)))*Interface!$F$11)</f>
        <v>-2.1969788374272027E-3</v>
      </c>
      <c r="R48" s="15">
        <f>IF(M48&lt;$F$3,(1/(32*$F$2^4*$I$3*$I$5)*($C$21-$I$5*M48^2*COS($F$8)+$C$22*COS(M48)+$C$23*M48*SIN(M48)))*Interface!$F$11,(1/(64*$F$2^4*$I$3*$I$5)*($C$24+2*$F$2*$C$25*M48-$C$25*M48^2+$C$26*SIN(M48)+$C$27*COS(M48)+$C$28*M48*SIN(M48)+$C$29*M48*COS(M48)))*Interface!$F$11)</f>
        <v>-8.8628148954947271E-3</v>
      </c>
      <c r="S48" s="60">
        <f t="shared" si="1"/>
        <v>1.1739198981724039E-4</v>
      </c>
    </row>
    <row r="49" spans="11:19">
      <c r="K49" s="65">
        <v>46</v>
      </c>
      <c r="L49" s="15">
        <f>K49*Interface!$F$11/100</f>
        <v>21.031199999999998</v>
      </c>
      <c r="M49" s="59">
        <f t="shared" si="0"/>
        <v>3.6799852800588795E-3</v>
      </c>
      <c r="N49" s="15">
        <f>IF(M49&lt;$F$3,(1/(4*$F$2^2)*(COS($F$2)+$F$2*SIN($F$3)-COS(M49)-M49*SIN(M49))*SIN($F$8)+1/(4*$F$2)*(COS(M49)-COS($F$3))*TAN($I$10))*(Interface!$F$17*Interface!$F$11^2),(1/(4*Background!$F$2^2)*(COS(Background!$F$2)-COS(Background!M49)+(Background!$F$2-Background!M49)*SIN(Background!M49))*SIN(Background!$F$8))*(Interface!$F$17*Interface!$F$11^2))</f>
        <v>-0.18753508916771053</v>
      </c>
      <c r="O49" s="15">
        <f>IF(M49&lt;$F$3,(1/(4*$F$2^2)*($C$3*SIN(M49)-M49*COS($F$8)))*(Interface!$F$17*Interface!$F$11^2),(1/(4*$F$2^2)*($F$2-M49-SIN($F$2-M49))*COS($F$8))*(Interface!$F$17*Interface!$F$11^2))</f>
        <v>2.0155170202196897E-3</v>
      </c>
      <c r="P49" s="15">
        <f>IF(M49&lt;$F$3,(1/(4*$F$2^2)*(COS($F$8)-$C$3*COS(M49)))*(Interface!$F$17*Interface!$F$11^2),(1/(4*$F$2^2)*(1-COS($F$2-M49))*COS($F$8))*(Interface!$F$17*Interface!$F$11^2))</f>
        <v>18.895547574607399</v>
      </c>
      <c r="Q49" s="15">
        <f>IF(M49&lt;$F$3,(1/(64*$F$2^4*$I$4)*((-4*$C$4+3*M49*SIN(M49)+($C$5-M49^2)*COS(M49))*SIN($F$8)+(4*$F$2*COS($F$3)-2*$F$2*M49*SIN(M49)+$C$6*COS(M49))*TAN($I$10)))*Interface!$F$11,(1/(64*$F$2^4*$I$4)*((4*(COS(M49)*1/COS($F$3)-1)*COS($F$2)+($C$7+3*M49)*SIN(M49)+($F$3-M49)*($C$8+M49)*COS(M49)-$C$9*COS(M49))*SIN($F$8)+$C$10*SIN($F$3-M49)*TAN($I$10)))*Interface!$F$11)</f>
        <v>-2.4123813268756272E-3</v>
      </c>
      <c r="R49" s="15">
        <f>IF(M49&lt;$F$3,(1/(32*$F$2^4*$I$3*$I$5)*($C$21-$I$5*M49^2*COS($F$8)+$C$22*COS(M49)+$C$23*M49*SIN(M49)))*Interface!$F$11,(1/(64*$F$2^4*$I$3*$I$5)*($C$24+2*$F$2*$C$25*M49-$C$25*M49^2+$C$26*SIN(M49)+$C$27*COS(M49)+$C$28*M49*SIN(M49)+$C$29*M49*COS(M49)))*Interface!$F$11)</f>
        <v>-9.7298579431911794E-3</v>
      </c>
      <c r="S49" s="60">
        <f t="shared" si="1"/>
        <v>1.2631558016200614E-4</v>
      </c>
    </row>
    <row r="50" spans="11:19">
      <c r="K50" s="65">
        <v>47</v>
      </c>
      <c r="L50" s="15">
        <f>K50*Interface!$F$11/100</f>
        <v>21.488400000000002</v>
      </c>
      <c r="M50" s="59">
        <f t="shared" si="0"/>
        <v>3.7599849600601599E-3</v>
      </c>
      <c r="N50" s="15">
        <f>IF(M50&lt;$F$3,(1/(4*$F$2^2)*(COS($F$2)+$F$2*SIN($F$3)-COS(M50)-M50*SIN(M50))*SIN($F$8)+1/(4*$F$2)*(COS(M50)-COS($F$3))*TAN($I$10))*(Interface!$F$17*Interface!$F$11^2),(1/(4*Background!$F$2^2)*(COS(Background!$F$2)-COS(Background!M50)+(Background!$F$2-Background!M50)*SIN(Background!M50))*SIN(Background!$F$8))*(Interface!$F$17*Interface!$F$11^2))</f>
        <v>-0.1054884661879673</v>
      </c>
      <c r="O50" s="15">
        <f>IF(M50&lt;$F$3,(1/(4*$F$2^2)*($C$3*SIN(M50)-M50*COS($F$8)))*(Interface!$F$17*Interface!$F$11^2),(1/(4*$F$2^2)*($F$2-M50-SIN($F$2-M50))*COS($F$8))*(Interface!$F$17*Interface!$F$11^2))</f>
        <v>8.5029623946654724E-4</v>
      </c>
      <c r="P50" s="15">
        <f>IF(M50&lt;$F$3,(1/(4*$F$2^2)*(COS($F$8)-$C$3*COS(M50)))*(Interface!$F$17*Interface!$F$11^2),(1/(4*$F$2^2)*(1-COS($F$2-M50))*COS($F$8))*(Interface!$F$17*Interface!$F$11^2))</f>
        <v>10.628745538885957</v>
      </c>
      <c r="Q50" s="15">
        <f>IF(M50&lt;$F$3,(1/(64*$F$2^4*$I$4)*((-4*$C$4+3*M50*SIN(M50)+($C$5-M50^2)*COS(M50))*SIN($F$8)+(4*$F$2*COS($F$3)-2*$F$2*M50*SIN(M50)+$C$6*COS(M50))*TAN($I$10)))*Interface!$F$11,(1/(64*$F$2^4*$I$4)*((4*(COS(M50)*1/COS($F$3)-1)*COS($F$2)+($C$7+3*M50)*SIN(M50)+($F$3-M50)*($C$8+M50)*COS(M50)-$C$9*COS(M50))*SIN($F$8)+$C$10*SIN($F$3-M50)*TAN($I$10)))*Interface!$F$11)</f>
        <v>-2.6275692765712535E-3</v>
      </c>
      <c r="R50" s="15">
        <f>IF(M50&lt;$F$3,(1/(32*$F$2^4*$I$3*$I$5)*($C$21-$I$5*M50^2*COS($F$8)+$C$22*COS(M50)+$C$23*M50*SIN(M50)))*Interface!$F$11,(1/(64*$F$2^4*$I$3*$I$5)*($C$24+2*$F$2*$C$25*M50-$C$25*M50^2+$C$26*SIN(M50)+$C$27*COS(M50)+$C$28*M50*SIN(M50)+$C$29*M50*COS(M50)))*Interface!$F$11)</f>
        <v>-1.0620941525591015E-2</v>
      </c>
      <c r="S50" s="60">
        <f t="shared" si="1"/>
        <v>1.3513357125971562E-4</v>
      </c>
    </row>
    <row r="51" spans="11:19">
      <c r="K51" s="65">
        <v>48</v>
      </c>
      <c r="L51" s="15">
        <f>K51*Interface!$F$11/100</f>
        <v>21.945599999999999</v>
      </c>
      <c r="M51" s="59">
        <f t="shared" si="0"/>
        <v>3.8399846400614395E-3</v>
      </c>
      <c r="N51" s="15">
        <f>IF(M51&lt;$F$3,(1/(4*$F$2^2)*(COS($F$2)+$F$2*SIN($F$3)-COS(M51)-M51*SIN(M51))*SIN($F$8)+1/(4*$F$2)*(COS(M51)-COS($F$3))*TAN($I$10))*(Interface!$F$17*Interface!$F$11^2),(1/(4*Background!$F$2^2)*(COS(Background!$F$2)-COS(Background!M51)+(Background!$F$2-Background!M51)*SIN(Background!M51))*SIN(Background!$F$8))*(Interface!$F$17*Interface!$F$11^2))</f>
        <v>-4.6883753160561675E-2</v>
      </c>
      <c r="O51" s="15">
        <f>IF(M51&lt;$F$3,(1/(4*$F$2^2)*($C$3*SIN(M51)-M51*COS($F$8)))*(Interface!$F$17*Interface!$F$11^2),(1/(4*$F$2^2)*($F$2-M51-SIN($F$2-M51))*COS($F$8))*(Interface!$F$17*Interface!$F$11^2))</f>
        <v>2.5193962502663631E-4</v>
      </c>
      <c r="P51" s="15">
        <f>IF(M51&lt;$F$3,(1/(4*$F$2^2)*(COS($F$8)-$C$3*COS(M51)))*(Interface!$F$17*Interface!$F$11^2),(1/(4*$F$2^2)*(1-COS($F$2-M51))*COS($F$8))*(Interface!$F$17*Interface!$F$11^2))</f>
        <v>4.7238869243819863</v>
      </c>
      <c r="Q51" s="15">
        <f>IF(M51&lt;$F$3,(1/(64*$F$2^4*$I$4)*((-4*$C$4+3*M51*SIN(M51)+($C$5-M51^2)*COS(M51))*SIN($F$8)+(4*$F$2*COS($F$3)-2*$F$2*M51*SIN(M51)+$C$6*COS(M51))*TAN($I$10)))*Interface!$F$11,(1/(64*$F$2^4*$I$4)*((4*(COS(M51)*1/COS($F$3)-1)*COS($F$2)+($C$7+3*M51)*SIN(M51)+($F$3-M51)*($C$8+M51)*COS(M51)-$C$9*COS(M51))*SIN($F$8)+$C$10*SIN($F$3-M51)*TAN($I$10)))*Interface!$F$11)</f>
        <v>-2.8426288524275199E-3</v>
      </c>
      <c r="R51" s="15">
        <f>IF(M51&lt;$F$3,(1/(32*$F$2^4*$I$3*$I$5)*($C$21-$I$5*M51^2*COS($F$8)+$C$22*COS(M51)+$C$23*M51*SIN(M51)))*Interface!$F$11,(1/(64*$F$2^4*$I$3*$I$5)*($C$24+2*$F$2*$C$25*M51-$C$25*M51^2+$C$26*SIN(M51)+$C$27*COS(M51)+$C$28*M51*SIN(M51)+$C$29*M51*COS(M51)))*Interface!$F$11)</f>
        <v>-1.1475211357654993E-2</v>
      </c>
      <c r="S51" s="60">
        <f t="shared" si="1"/>
        <v>1.4381356518450593E-4</v>
      </c>
    </row>
    <row r="52" spans="11:19">
      <c r="K52" s="65">
        <v>49</v>
      </c>
      <c r="L52" s="15">
        <f>K52*Interface!$F$11/100</f>
        <v>22.402799999999999</v>
      </c>
      <c r="M52" s="59">
        <f t="shared" si="0"/>
        <v>3.9199843200627199E-3</v>
      </c>
      <c r="N52" s="15">
        <f>IF(M52&lt;$F$3,(1/(4*$F$2^2)*(COS($F$2)+$F$2*SIN($F$3)-COS(M52)-M52*SIN(M52))*SIN($F$8)+1/(4*$F$2)*(COS(M52)-COS($F$3))*TAN($I$10))*(Interface!$F$17*Interface!$F$11^2),(1/(4*Background!$F$2^2)*(COS(Background!$F$2)-COS(Background!M52)+(Background!$F$2-Background!M52)*SIN(Background!M52))*SIN(Background!$F$8))*(Interface!$F$17*Interface!$F$11^2))</f>
        <v>-1.1720935588181611E-2</v>
      </c>
      <c r="O52" s="15">
        <f>IF(M52&lt;$F$3,(1/(4*$F$2^2)*($C$3*SIN(M52)-M52*COS($F$8)))*(Interface!$F$17*Interface!$F$11^2),(1/(4*$F$2^2)*($F$2-M52-SIN($F$2-M52))*COS($F$8))*(Interface!$F$17*Interface!$F$11^2))</f>
        <v>3.1492453128329539E-5</v>
      </c>
      <c r="P52" s="15">
        <f>IF(M52&lt;$F$3,(1/(4*$F$2^2)*(COS($F$8)-$C$3*COS(M52)))*(Interface!$F$17*Interface!$F$11^2),(1/(4*$F$2^2)*(1-COS($F$2-M52))*COS($F$8))*(Interface!$F$17*Interface!$F$11^2))</f>
        <v>1.1809717310954966</v>
      </c>
      <c r="Q52" s="15">
        <f>IF(M52&lt;$F$3,(1/(64*$F$2^4*$I$4)*((-4*$C$4+3*M52*SIN(M52)+($C$5-M52^2)*COS(M52))*SIN($F$8)+(4*$F$2*COS($F$3)-2*$F$2*M52*SIN(M52)+$C$6*COS(M52))*TAN($I$10)))*Interface!$F$11,(1/(64*$F$2^4*$I$4)*((4*(COS(M52)*1/COS($F$3)-1)*COS($F$2)+($C$7+3*M52)*SIN(M52)+($F$3-M52)*($C$8+M52)*COS(M52)-$C$9*COS(M52))*SIN($F$8)+$C$10*SIN($F$3-M52)*TAN($I$10)))*Interface!$F$11)</f>
        <v>-3.0576462169776661E-3</v>
      </c>
      <c r="R52" s="15">
        <f>IF(M52&lt;$F$3,(1/(32*$F$2^4*$I$3*$I$5)*($C$21-$I$5*M52^2*COS($F$8)+$C$22*COS(M52)+$C$23*M52*SIN(M52)))*Interface!$F$11,(1/(64*$F$2^4*$I$3*$I$5)*($C$24+2*$F$2*$C$25*M52-$C$25*M52^2+$C$26*SIN(M52)+$C$27*COS(M52)+$C$28*M52*SIN(M52)+$C$29*M52*COS(M52)))*Interface!$F$11)</f>
        <v>-1.2332614407677255E-2</v>
      </c>
      <c r="S52" s="60">
        <f t="shared" si="1"/>
        <v>1.5252497108606379E-4</v>
      </c>
    </row>
    <row r="53" spans="11:19" ht="15" thickBot="1">
      <c r="K53" s="66">
        <v>50</v>
      </c>
      <c r="L53" s="61">
        <f>K53*Interface!$F$11/100</f>
        <v>22.86</v>
      </c>
      <c r="M53" s="62">
        <f t="shared" si="0"/>
        <v>3.9999840000639999E-3</v>
      </c>
      <c r="N53" s="61">
        <f>IF(M53&lt;$F$3,(1/(4*$F$2^2)*(COS($F$2)+$F$2*SIN($F$3)-COS(M53)-M53*SIN(M53))*SIN($F$8)+1/(4*$F$2)*(COS(M53)-COS($F$3))*TAN($I$10))*(Interface!$F$17*Interface!$F$11^2),(1/(4*Background!$F$2^2)*(COS(Background!$F$2)-COS(Background!M53)+(Background!$F$2-Background!M53)*SIN(Background!M53))*SIN(Background!$F$8))*(Interface!$F$17*Interface!$F$11^2))</f>
        <v>0</v>
      </c>
      <c r="O53" s="61">
        <f>IF(M53&lt;$F$3,(1/(4*$F$2^2)*($C$3*SIN(M53)-M53*COS($F$8)))*(Interface!$F$17*Interface!$F$11^2),(1/(4*$F$2^2)*($F$2-M53-SIN($F$2-M53))*COS($F$8))*(Interface!$F$17*Interface!$F$11^2))</f>
        <v>0</v>
      </c>
      <c r="P53" s="61">
        <f>IF(M53&lt;$F$3,(1/(4*$F$2^2)*(COS($F$8)-$C$3*COS(M53)))*(Interface!$F$17*Interface!$F$11^2),(1/(4*$F$2^2)*(1-COS($F$2-M53))*COS($F$8))*(Interface!$F$17*Interface!$F$11^2))</f>
        <v>0</v>
      </c>
      <c r="Q53" s="61">
        <f>IF(M53&lt;$F$3,(1/(64*$F$2^4*$I$4)*((-4*$C$4+3*M53*SIN(M53)+($C$5-M53^2)*COS(M53))*SIN($F$8)+(4*$F$2*COS($F$3)-2*$F$2*M53*SIN(M53)+$C$6*COS(M53))*TAN($I$10)))*Interface!$F$11,(1/(64*$F$2^4*$I$4)*((4*(COS(M53)*1/COS($F$3)-1)*COS($F$2)+($C$7+3*M53)*SIN(M53)+($F$3-M53)*($C$8+M53)*COS(M53)-$C$9*COS(M53))*SIN($F$8)+$C$10*SIN($F$3-M53)*TAN($I$10)))*Interface!$F$11)</f>
        <v>-3.2726479650451571E-3</v>
      </c>
      <c r="R53" s="61">
        <f>IF(M53&lt;$F$3,(1/(32*$F$2^4*$I$3*$I$5)*($C$21-$I$5*M53^2*COS($F$8)+$C$22*COS(M53)+$C$23*M53*SIN(M53)))*Interface!$F$11,(1/(64*$F$2^4*$I$3*$I$5)*($C$24+2*$F$2*$C$25*M53-$C$25*M53^2+$C$26*SIN(M53)+$C$27*COS(M53)+$C$28*M53*SIN(M53)+$C$29*M53*COS(M53)))*Interface!$F$11)</f>
        <v>-1.3218652572759837E-2</v>
      </c>
      <c r="S53" s="63">
        <f t="shared" si="1"/>
        <v>1.6123461003638185E-4</v>
      </c>
    </row>
  </sheetData>
  <mergeCells count="8">
    <mergeCell ref="E24:H24"/>
    <mergeCell ref="E25:F25"/>
    <mergeCell ref="G25:H25"/>
    <mergeCell ref="B2:C2"/>
    <mergeCell ref="H2:I2"/>
    <mergeCell ref="E13:F13"/>
    <mergeCell ref="G13:H13"/>
    <mergeCell ref="E12:H12"/>
  </mergeCell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Interface</vt:lpstr>
      <vt:lpstr>Quantities explained</vt:lpstr>
      <vt:lpstr>Plots</vt:lpstr>
      <vt:lpstr>Background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cojo</dc:creator>
  <cp:lastModifiedBy>Razvan Cojocaru</cp:lastModifiedBy>
  <dcterms:created xsi:type="dcterms:W3CDTF">2011-11-18T18:06:54Z</dcterms:created>
  <dcterms:modified xsi:type="dcterms:W3CDTF">2012-06-26T14:51:21Z</dcterms:modified>
</cp:coreProperties>
</file>