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filterPrivacy="1" showInkAnnotation="0" autoCompressPictures="0" defaultThemeVersion="124226"/>
  <bookViews>
    <workbookView xWindow="6720" yWindow="1005" windowWidth="19320" windowHeight="15480"/>
  </bookViews>
  <sheets>
    <sheet name="Menu" sheetId="5" r:id="rId1"/>
    <sheet name="Oyster Crop Budget" sheetId="3" r:id="rId2"/>
    <sheet name="Line Item Notes" sheetId="2" r:id="rId3"/>
    <sheet name="Budget Evaluation" sheetId="4" r:id="rId4"/>
  </sheets>
  <definedNames>
    <definedName name="_xlnm.Print_Area" localSheetId="3">'Budget Evaluation'!$A$1:$E$58</definedName>
  </definedNames>
  <calcPr calcId="125725" concurrentCalc="0"/>
  <extLst>
    <ext xmlns:mx="http://schemas.microsoft.com/office/mac/excel/2008/main" uri="{7523E5D3-25F3-A5E0-1632-64F254C22452}">
      <mx:ArchID Flags="2"/>
    </ext>
  </extLst>
</workbook>
</file>

<file path=xl/calcChain.xml><?xml version="1.0" encoding="utf-8"?>
<calcChain xmlns="http://schemas.openxmlformats.org/spreadsheetml/2006/main">
  <c r="D15" i="2"/>
  <c r="I15"/>
  <c r="D16"/>
  <c r="I16"/>
  <c r="D33"/>
  <c r="I33"/>
  <c r="I34"/>
  <c r="G35"/>
  <c r="I35"/>
  <c r="G36"/>
  <c r="I36"/>
  <c r="F9" i="3"/>
  <c r="G37" i="2"/>
  <c r="I37"/>
  <c r="G38"/>
  <c r="I38"/>
  <c r="D39"/>
  <c r="I39"/>
  <c r="I40"/>
  <c r="I41"/>
  <c r="I42"/>
  <c r="I43"/>
  <c r="C57" i="3"/>
  <c r="C56"/>
  <c r="C55"/>
  <c r="C54"/>
  <c r="C53"/>
  <c r="C52"/>
  <c r="C51"/>
  <c r="C50"/>
  <c r="C49"/>
  <c r="C48"/>
  <c r="F35" i="2"/>
  <c r="H35"/>
  <c r="F36"/>
  <c r="H36"/>
  <c r="F37"/>
  <c r="H37"/>
  <c r="F38"/>
  <c r="H38"/>
  <c r="F39"/>
  <c r="H39"/>
  <c r="F33"/>
  <c r="H33"/>
  <c r="F34"/>
  <c r="H34"/>
  <c r="F40"/>
  <c r="H40"/>
  <c r="F41"/>
  <c r="H41"/>
  <c r="F42"/>
  <c r="H42"/>
  <c r="H43"/>
  <c r="C19" i="3"/>
  <c r="F19"/>
  <c r="C16"/>
  <c r="C36" i="4"/>
  <c r="F11" i="3"/>
  <c r="F10"/>
  <c r="F40"/>
  <c r="E40"/>
  <c r="B30" i="2"/>
  <c r="D30"/>
  <c r="H30"/>
  <c r="F39" i="3"/>
  <c r="G30" i="2"/>
  <c r="E39" i="3"/>
  <c r="E74"/>
  <c r="E65"/>
  <c r="E63"/>
  <c r="F71"/>
  <c r="E71"/>
  <c r="F72"/>
  <c r="E72"/>
  <c r="D25"/>
  <c r="D24"/>
  <c r="F32"/>
  <c r="E32"/>
  <c r="C11" i="2"/>
  <c r="C20" i="3"/>
  <c r="F20"/>
  <c r="D11" i="2"/>
  <c r="C21" i="3"/>
  <c r="F21"/>
  <c r="C22"/>
  <c r="F22"/>
  <c r="C23"/>
  <c r="F23"/>
  <c r="C30"/>
  <c r="D30"/>
  <c r="F30"/>
  <c r="C24"/>
  <c r="F24"/>
  <c r="C25"/>
  <c r="F25"/>
  <c r="F26"/>
  <c r="F27"/>
  <c r="F28"/>
  <c r="F31"/>
  <c r="F34"/>
  <c r="E19"/>
  <c r="E20"/>
  <c r="E21"/>
  <c r="E22"/>
  <c r="E23"/>
  <c r="E30"/>
  <c r="E24"/>
  <c r="E25"/>
  <c r="E26"/>
  <c r="E27"/>
  <c r="E28"/>
  <c r="E19" i="2"/>
  <c r="E20"/>
  <c r="E21"/>
  <c r="E22"/>
  <c r="E23"/>
  <c r="D29" i="3"/>
  <c r="E29"/>
  <c r="E31"/>
  <c r="E34"/>
  <c r="D50"/>
  <c r="D8" i="2"/>
  <c r="D10"/>
  <c r="C10"/>
  <c r="C9"/>
  <c r="C8"/>
  <c r="C7"/>
  <c r="D53" i="3"/>
  <c r="F41"/>
  <c r="E41"/>
  <c r="C45" i="4"/>
  <c r="D52" i="3"/>
  <c r="A88"/>
  <c r="A89"/>
  <c r="A90"/>
  <c r="A91"/>
  <c r="A92"/>
  <c r="A93"/>
  <c r="A94"/>
  <c r="A95"/>
  <c r="A96"/>
  <c r="A97"/>
  <c r="A98"/>
  <c r="A99"/>
  <c r="A100"/>
  <c r="A101"/>
  <c r="A102"/>
  <c r="A103"/>
  <c r="A104"/>
  <c r="A105"/>
  <c r="A106"/>
  <c r="A107"/>
  <c r="C86"/>
  <c r="D86"/>
  <c r="E86"/>
  <c r="F86"/>
  <c r="E44"/>
  <c r="C39" i="4"/>
  <c r="F44" i="3"/>
  <c r="E43"/>
  <c r="C69"/>
  <c r="F69"/>
  <c r="F73"/>
  <c r="E73"/>
  <c r="E52"/>
  <c r="F52"/>
  <c r="F53"/>
  <c r="E53"/>
  <c r="E50"/>
  <c r="F50"/>
  <c r="E69"/>
  <c r="C37" i="4"/>
  <c r="C40"/>
  <c r="D16" i="3"/>
  <c r="F16"/>
  <c r="C42"/>
  <c r="E16"/>
  <c r="G16" i="2"/>
  <c r="H16"/>
  <c r="G15"/>
  <c r="H15"/>
  <c r="C38" i="4"/>
  <c r="F45" i="3"/>
  <c r="C46" i="4"/>
  <c r="E45" i="3"/>
  <c r="E46"/>
  <c r="F46"/>
  <c r="F76"/>
  <c r="E76"/>
  <c r="C57" i="4"/>
  <c r="C41"/>
  <c r="D55" i="3"/>
  <c r="F36"/>
  <c r="E36"/>
  <c r="E55"/>
  <c r="F55"/>
  <c r="C53" i="4"/>
  <c r="D56" i="3"/>
  <c r="D57"/>
  <c r="D49"/>
  <c r="F56"/>
  <c r="E56"/>
  <c r="D54"/>
  <c r="E42"/>
  <c r="F42"/>
  <c r="F49"/>
  <c r="C50" i="4"/>
  <c r="E49" i="3"/>
  <c r="F57"/>
  <c r="E57"/>
  <c r="D51"/>
  <c r="C54" i="4"/>
  <c r="F54" i="3"/>
  <c r="E54"/>
  <c r="F51"/>
  <c r="E51"/>
  <c r="C51" i="4"/>
  <c r="D48" i="3"/>
  <c r="F48"/>
  <c r="C49" i="4"/>
  <c r="E48" i="3"/>
  <c r="C44" i="4"/>
  <c r="E59" i="3"/>
  <c r="E78"/>
  <c r="F59"/>
  <c r="C55" i="4"/>
  <c r="C32"/>
  <c r="F78" i="3"/>
  <c r="E80"/>
  <c r="F80"/>
  <c r="A86"/>
  <c r="C21" i="4"/>
  <c r="C9"/>
  <c r="C24"/>
  <c r="C17"/>
  <c r="C25"/>
  <c r="C20"/>
  <c r="C15"/>
  <c r="C18"/>
  <c r="C10"/>
  <c r="C11"/>
  <c r="C8"/>
  <c r="C7"/>
  <c r="C28"/>
  <c r="C12"/>
  <c r="C16"/>
  <c r="C22"/>
  <c r="C26"/>
</calcChain>
</file>

<file path=xl/comments1.xml><?xml version="1.0" encoding="utf-8"?>
<comments xmlns="http://schemas.openxmlformats.org/spreadsheetml/2006/main">
  <authors>
    <author>Author</author>
  </authors>
  <commentList>
    <comment ref="F8" authorId="0">
      <text>
        <r>
          <rPr>
            <sz val="9"/>
            <color indexed="81"/>
            <rFont val="Tahoma"/>
            <family val="2"/>
          </rPr>
          <t>Enter the number of oysters you plan to market each year
*budget is based on sales between 250,000 and 1 million*</t>
        </r>
      </text>
    </comment>
    <comment ref="F9" authorId="0">
      <text>
        <r>
          <rPr>
            <sz val="9"/>
            <color indexed="81"/>
            <rFont val="Tahoma"/>
            <family val="2"/>
          </rPr>
          <t xml:space="preserve">Number of seed needed based on mortality estimate entered and rounded to the nearest thousand.
</t>
        </r>
      </text>
    </comment>
    <comment ref="F10" authorId="0">
      <text>
        <r>
          <rPr>
            <sz val="9"/>
            <color indexed="81"/>
            <rFont val="Tahoma"/>
            <family val="2"/>
          </rPr>
          <t>Based on mortality rate entered and percentage of oysters harvested in year 1</t>
        </r>
      </text>
    </comment>
    <comment ref="F11" authorId="0">
      <text>
        <r>
          <rPr>
            <sz val="9"/>
            <color indexed="81"/>
            <rFont val="Tahoma"/>
            <family val="2"/>
          </rPr>
          <t>Based on mortality rate entered and percentage of oysters harvested in years 1 and 2.  
=percentage of oysters harvested in year 2 (from the first crop) PLUS the percentage harvested in year 1 (from the second crop)</t>
        </r>
      </text>
    </comment>
    <comment ref="D16" authorId="0">
      <text>
        <r>
          <rPr>
            <sz val="9"/>
            <color indexed="81"/>
            <rFont val="Tahoma"/>
            <family val="2"/>
          </rPr>
          <t>Based on Average market price entered above</t>
        </r>
      </text>
    </comment>
    <comment ref="D19" authorId="0">
      <text>
        <r>
          <rPr>
            <sz val="9"/>
            <color indexed="81"/>
            <rFont val="Tahoma"/>
            <family val="2"/>
          </rPr>
          <t>Based on cost for 2-4 mm seed</t>
        </r>
      </text>
    </comment>
    <comment ref="A22" authorId="0">
      <text>
        <r>
          <rPr>
            <sz val="9"/>
            <color indexed="81"/>
            <rFont val="Tahoma"/>
            <family val="2"/>
          </rPr>
          <t>http://www.irs.gov/pub/irs-pdf/p926.pdf</t>
        </r>
      </text>
    </comment>
    <comment ref="A23" authorId="0">
      <text>
        <r>
          <rPr>
            <sz val="9"/>
            <color indexed="81"/>
            <rFont val="Tahoma"/>
            <family val="2"/>
          </rPr>
          <t>This cost is based on payroll costs.
It will range from $2.00 per $100 of payroll to $6.00 per $100 of payroll.  
Cost will depend on the company and the exact description of what the insured does.
This budget uses the average of $4.00 per $100 of payroll.</t>
        </r>
      </text>
    </comment>
    <comment ref="A40" authorId="0">
      <text>
        <r>
          <rPr>
            <sz val="9"/>
            <color indexed="81"/>
            <rFont val="Tahoma"/>
            <family val="2"/>
          </rPr>
          <t>Vessel property insurance (sinking, burning, theft, etc) varies from 3% to 6% of hull value.
This budget uses an average total cost of $750</t>
        </r>
      </text>
    </comment>
    <comment ref="A42" authorId="0">
      <text>
        <r>
          <rPr>
            <sz val="9"/>
            <color indexed="81"/>
            <rFont val="Tahoma"/>
            <family val="2"/>
          </rPr>
          <t>Cost is based on the amount of sales.  Sales over $50,000 will be rated at $3.00 to $5.00 per $1000 of sales.
This budget uses the average of $4.00 per $1000 of sales</t>
        </r>
      </text>
    </comment>
    <comment ref="A44" authorId="0">
      <text>
        <r>
          <rPr>
            <sz val="9"/>
            <color indexed="81"/>
            <rFont val="Tahoma"/>
            <family val="2"/>
          </rPr>
          <t xml:space="preserve">Reference: Virginia State Corporate Commission
http://www.scc.virginia.gov/publicforms/170/scc544.pdf
</t>
        </r>
      </text>
    </comment>
    <comment ref="C69" authorId="0">
      <text>
        <r>
          <rPr>
            <sz val="9"/>
            <color indexed="81"/>
            <rFont val="Tahoma"/>
            <family val="2"/>
          </rPr>
          <t>Based on 2 acres per 100,000 oysters planted</t>
        </r>
      </text>
    </comment>
  </commentList>
</comments>
</file>

<file path=xl/comments2.xml><?xml version="1.0" encoding="utf-8"?>
<comments xmlns="http://schemas.openxmlformats.org/spreadsheetml/2006/main">
  <authors>
    <author>Author</author>
  </authors>
  <commentList>
    <comment ref="A4" authorId="0">
      <text>
        <r>
          <rPr>
            <b/>
            <sz val="9"/>
            <color indexed="81"/>
            <rFont val="Tahoma"/>
            <family val="2"/>
          </rPr>
          <t>Scale based on averages from shellfish survey employment data</t>
        </r>
      </text>
    </comment>
    <comment ref="B19" authorId="0">
      <text>
        <r>
          <rPr>
            <sz val="9"/>
            <color indexed="81"/>
            <rFont val="Tahoma"/>
            <family val="2"/>
          </rPr>
          <t>http://www.opr-rope.com/comf.htm</t>
        </r>
      </text>
    </comment>
    <comment ref="A32" authorId="0">
      <text>
        <r>
          <rPr>
            <b/>
            <sz val="9"/>
            <color indexed="81"/>
            <rFont val="Tahoma"/>
            <family val="2"/>
          </rPr>
          <t>Reference:  IRS 
http://www.irs.gov/publications/p225/ch07.html#en_US_2010_publink1000218238
Table 7.1 for recovery period</t>
        </r>
      </text>
    </comment>
    <comment ref="B33" authorId="0">
      <text>
        <r>
          <rPr>
            <sz val="9"/>
            <color indexed="81"/>
            <rFont val="Tahoma"/>
            <family val="2"/>
          </rPr>
          <t>www.jettsmarine.com</t>
        </r>
      </text>
    </comment>
    <comment ref="A35" authorId="0">
      <text>
        <r>
          <rPr>
            <sz val="9"/>
            <color indexed="81"/>
            <rFont val="Tahoma"/>
            <family val="2"/>
          </rPr>
          <t xml:space="preserve">Chesapeake Bay Oyster Company
http://bayoyster.com/equip_go.html
</t>
        </r>
      </text>
    </comment>
    <comment ref="A36" authorId="0">
      <text>
        <r>
          <rPr>
            <sz val="9"/>
            <color indexed="81"/>
            <rFont val="Tahoma"/>
            <family val="2"/>
          </rPr>
          <t>Chesapeake Bay Oyster Company
http://bayoyster.com/equip_go.html</t>
        </r>
      </text>
    </comment>
    <comment ref="B39" authorId="0">
      <text>
        <r>
          <rPr>
            <b/>
            <sz val="9"/>
            <color indexed="81"/>
            <rFont val="Tahoma"/>
            <family val="2"/>
          </rPr>
          <t>Reference: ThermoKing
http://www.thermoking.com/dealerlocator/NADresults.asp?state=VA&amp;c=USA</t>
        </r>
      </text>
    </comment>
    <comment ref="B40" authorId="0">
      <text>
        <r>
          <rPr>
            <b/>
            <sz val="9"/>
            <color indexed="81"/>
            <rFont val="Tahoma"/>
            <family val="2"/>
          </rPr>
          <t xml:space="preserve">reference:  Kolpack
http://www.kolpak.com/products/chill-walk-ins/coolers-freezers/polar-pak-walk-in
</t>
        </r>
      </text>
    </comment>
    <comment ref="B41" authorId="0">
      <text>
        <r>
          <rPr>
            <b/>
            <sz val="9"/>
            <color indexed="81"/>
            <rFont val="Tahoma"/>
            <family val="2"/>
          </rPr>
          <t>Reference: Chesapeake Bay Oyster Company 
http://chesbayoysterco.blogspot.com/2010/02/upwelling-and-upwellers.html</t>
        </r>
      </text>
    </comment>
    <comment ref="B42" authorId="0">
      <text>
        <r>
          <rPr>
            <b/>
            <sz val="9"/>
            <color indexed="81"/>
            <rFont val="Tahoma"/>
            <family val="2"/>
          </rPr>
          <t>Reference: Chesapeake Bay Oyster Company
http://chesbayoysterco.blogspot.com/2009/03/quicktube-sorter.html</t>
        </r>
      </text>
    </comment>
  </commentList>
</comments>
</file>

<file path=xl/sharedStrings.xml><?xml version="1.0" encoding="utf-8"?>
<sst xmlns="http://schemas.openxmlformats.org/spreadsheetml/2006/main" count="267" uniqueCount="200">
  <si>
    <t>Total Capital Investment</t>
  </si>
  <si>
    <t>Total Permitting &amp; Ground Leasing Expenses</t>
  </si>
  <si>
    <t>2. Operating Expenses</t>
  </si>
  <si>
    <t>4. Fixed Costs</t>
  </si>
  <si>
    <t>Mortality Rate</t>
  </si>
  <si>
    <t>Truck</t>
  </si>
  <si>
    <t>APR</t>
  </si>
  <si>
    <t>% Down Payment</t>
  </si>
  <si>
    <t>PV of Loan Amount</t>
  </si>
  <si>
    <t>Total</t>
  </si>
  <si>
    <t>1. Gross Receipts</t>
  </si>
  <si>
    <t xml:space="preserve">Item </t>
  </si>
  <si>
    <t xml:space="preserve"> </t>
  </si>
  <si>
    <t>Misc. Supplies</t>
  </si>
  <si>
    <t>Labor Calculations</t>
  </si>
  <si>
    <t>Fuel Calculations</t>
  </si>
  <si>
    <t>Item</t>
  </si>
  <si>
    <t>Power washer</t>
  </si>
  <si>
    <t>TOTAL</t>
  </si>
  <si>
    <t>Hours</t>
  </si>
  <si>
    <t>400,000 to 700,000</t>
  </si>
  <si>
    <t>800,000 to 1,000,000</t>
  </si>
  <si>
    <t>700,000 to 800,000</t>
  </si>
  <si>
    <t>1,000,000 to 1,500,000</t>
  </si>
  <si>
    <t>1,500,000 to 2,000,000</t>
  </si>
  <si>
    <t>Expendable  Supplies</t>
  </si>
  <si>
    <t>Key Assumptions</t>
  </si>
  <si>
    <t>Percentage of Total Annual Expenses</t>
  </si>
  <si>
    <t>Fuel (boat and truck)</t>
  </si>
  <si>
    <t>Manitenance (vehicle and equipment)</t>
  </si>
  <si>
    <t>Gear (cages and bags)</t>
  </si>
  <si>
    <t xml:space="preserve">Total cost of production based on budget = </t>
  </si>
  <si>
    <t>Ice for summer harvesting</t>
  </si>
  <si>
    <t>Sum of 12 monthly payments</t>
  </si>
  <si>
    <t>START</t>
  </si>
  <si>
    <t>n/a</t>
  </si>
  <si>
    <t>Unit Description</t>
  </si>
  <si>
    <t xml:space="preserve"> 3/16"</t>
  </si>
  <si>
    <t xml:space="preserve"> 3/8"</t>
  </si>
  <si>
    <t>Unit Cost/Price</t>
  </si>
  <si>
    <t>Total Annual Depreciation</t>
  </si>
  <si>
    <t>Stocking Density (oysters per container)</t>
  </si>
  <si>
    <t>For Growers Marketing 250,000 to 1 Million Oysters per Year</t>
  </si>
  <si>
    <t>Medium-Scale Cultchless Oyster Crop Budgets</t>
  </si>
  <si>
    <t>Cultchless (Single-Seed) Oyster Crop Budget</t>
  </si>
  <si>
    <t>Medium-Scale: Marketing 250,000 to 1 Million Oysters per Year</t>
  </si>
  <si>
    <t>Estimated Costs and Returns per Crop of Oysters</t>
  </si>
  <si>
    <t>Oyster mortality rate</t>
  </si>
  <si>
    <t>% of total oysters harvested in Year 1</t>
  </si>
  <si>
    <t>% of total oysters harvested in Year 2</t>
  </si>
  <si>
    <t>Oyster seed planted</t>
  </si>
  <si>
    <t>Year 1 harvest (crop 1)</t>
  </si>
  <si>
    <t>Year 2 harvest (crops 1 &amp; 2)</t>
  </si>
  <si>
    <t>Unit</t>
  </si>
  <si>
    <t>Quantity of Units</t>
  </si>
  <si>
    <t>Year 1</t>
  </si>
  <si>
    <t>Year 2</t>
  </si>
  <si>
    <t>My Farm</t>
  </si>
  <si>
    <t>Market oyster revenue</t>
  </si>
  <si>
    <t>Triploid oyster seed</t>
  </si>
  <si>
    <t>Full-time labor</t>
  </si>
  <si>
    <t>Part-time labor</t>
  </si>
  <si>
    <t>Employment tax (FICA)</t>
  </si>
  <si>
    <t>Workers' compensation</t>
  </si>
  <si>
    <t>Boat fuel</t>
  </si>
  <si>
    <t>Truck fuel</t>
  </si>
  <si>
    <t>Boat maintenance</t>
  </si>
  <si>
    <t>Truck maintenance</t>
  </si>
  <si>
    <t>Expendable supplies (baskets or totes, etc.)</t>
  </si>
  <si>
    <t>Other (office supplies, electricity, etc.)</t>
  </si>
  <si>
    <t>Misc. supplies</t>
  </si>
  <si>
    <t>3. Return Over Operating Expenses</t>
  </si>
  <si>
    <t>Boat insurance</t>
  </si>
  <si>
    <t>Truck insurance</t>
  </si>
  <si>
    <t>Business liability insurance</t>
  </si>
  <si>
    <t>LLC registration fee</t>
  </si>
  <si>
    <t>Legal &amp; accounting fees</t>
  </si>
  <si>
    <t>Business property tax (boat)</t>
  </si>
  <si>
    <t>Depreciation expense (noncash)</t>
  </si>
  <si>
    <t>Barge, motor, hoist</t>
  </si>
  <si>
    <t>Cages − seed (20% of total cages needed)</t>
  </si>
  <si>
    <t>Cages − grow-out (80% of total cages needed)</t>
  </si>
  <si>
    <t xml:space="preserve">Bags − seed </t>
  </si>
  <si>
    <t>Bags − grow-out</t>
  </si>
  <si>
    <t>Refrigeration unit − truck</t>
  </si>
  <si>
    <t>Walk-in cold room (10' x 24')</t>
  </si>
  <si>
    <t>Floating upweller</t>
  </si>
  <si>
    <t>Sorter, hopper, conveyer</t>
  </si>
  <si>
    <t>5. Permitting &amp; Ground Leasing Costs (startup costs)</t>
  </si>
  <si>
    <t>Application fee (nonrefundable)</t>
  </si>
  <si>
    <t xml:space="preserve">Advertising cost − newspaper  </t>
  </si>
  <si>
    <t>Additional plat charge (if needed)</t>
  </si>
  <si>
    <t>Recording fee for each assignment &amp; plat</t>
  </si>
  <si>
    <t>Assignment fee for each assignment &amp; plat</t>
  </si>
  <si>
    <t>Rental amount (per acre, per year)</t>
  </si>
  <si>
    <t>Commercial fisherman registration license</t>
  </si>
  <si>
    <t>Oyster aquaculture product owner's permit</t>
  </si>
  <si>
    <t>Oyster aquaculture harvester's permit</t>
  </si>
  <si>
    <t>Joint permit application for floating upweller</t>
  </si>
  <si>
    <t>6. Estimated Pretax Return to Land, Risk, and Management</t>
  </si>
  <si>
    <t>Year 2 Pretax Return Sensitivity: Mortality and Market Price</t>
  </si>
  <si>
    <t>Market Price</t>
  </si>
  <si>
    <t>Sensitivity Table</t>
  </si>
  <si>
    <t>No. planted</t>
  </si>
  <si>
    <t>2 FT, 1 PT</t>
  </si>
  <si>
    <t>3 FT, 1 PT</t>
  </si>
  <si>
    <t>3 FT, 4 PT</t>
  </si>
  <si>
    <t>3 FT, 6 PT</t>
  </si>
  <si>
    <t>Annual Interest Payments Year 1</t>
  </si>
  <si>
    <t>Annual Interest Payments Year 2</t>
  </si>
  <si>
    <t>2 FT, 2 PT</t>
  </si>
  <si>
    <t>Bushel baskets</t>
  </si>
  <si>
    <t>Other misc. (tags, thermometers, pumps, etc.)</t>
  </si>
  <si>
    <t>Labor (FT &amp; PT, FICA, workers' comp)</t>
  </si>
  <si>
    <t>Debt servicing (barge, motor, hoist)</t>
  </si>
  <si>
    <t>Insurance (boat, truck, business)</t>
  </si>
  <si>
    <t>Legal fees (structuring, LLC, accounting)</t>
  </si>
  <si>
    <t>Nursery equip. (flupsy, sorter)</t>
  </si>
  <si>
    <t>Table 2. Cost of line items per market oyster.</t>
  </si>
  <si>
    <t xml:space="preserve">8' x 20' floating dock w/fanblade submersible pump; includes assembly (holds 1M) </t>
  </si>
  <si>
    <t>Quick tube sorter w/2 sorting tubes (seed &amp; market/submarket)</t>
  </si>
  <si>
    <t>Single oyster</t>
  </si>
  <si>
    <t>Taxable total wages ($)</t>
  </si>
  <si>
    <t>Annual expense per $100 of payroll</t>
  </si>
  <si>
    <t>Startup cost</t>
  </si>
  <si>
    <t>Annual expense</t>
  </si>
  <si>
    <t>Annual expense per $1,000 of sales</t>
  </si>
  <si>
    <t>Annual expense (est.)</t>
  </si>
  <si>
    <t>Annual expense (noncash)</t>
  </si>
  <si>
    <t>Per year</t>
  </si>
  <si>
    <t>Per person, per year (hired labor)</t>
  </si>
  <si>
    <t>Capital Items to Be Depreciated</t>
  </si>
  <si>
    <t>Boat, motor, hoist, trailer</t>
  </si>
  <si>
    <t>Interest (boat, motor, hoist, trailer)</t>
  </si>
  <si>
    <t>Misc. equipment maintenance (upweller, sorter, pumps, etc.)</t>
  </si>
  <si>
    <t>No. FT Hours</t>
  </si>
  <si>
    <t>No. PT Hours</t>
  </si>
  <si>
    <t xml:space="preserve">Number of Hours per Year </t>
  </si>
  <si>
    <t>Total No. Hours Used in Budget</t>
  </si>
  <si>
    <t>No. Planted</t>
  </si>
  <si>
    <t>No. Employees</t>
  </si>
  <si>
    <t>Includes line, anchors, pvc, buoys, replacement protective gear (waders, gloves), small tools, replacement baskets, or totes</t>
  </si>
  <si>
    <t>No. Gallons</t>
  </si>
  <si>
    <t>Weekly Cost</t>
  </si>
  <si>
    <t xml:space="preserve">Annual Cost </t>
  </si>
  <si>
    <t>Approx. Cost</t>
  </si>
  <si>
    <t>No. of Units</t>
  </si>
  <si>
    <t>Seed cages</t>
  </si>
  <si>
    <t>Grow-out cages</t>
  </si>
  <si>
    <t>Seed bags</t>
  </si>
  <si>
    <t>Grow-out bags</t>
  </si>
  <si>
    <t>Refrigeration unit for 8' truck bed</t>
  </si>
  <si>
    <t>Walk-in cooler (modular, self-contained, outside, 10' x 24' unit)</t>
  </si>
  <si>
    <t>3' x 4' LowPro double-stack, 1/2" mesh, bridled</t>
  </si>
  <si>
    <t>3' x 4' LowPro double-stack, 1" mesh, bridled</t>
  </si>
  <si>
    <t>Basic model: 7' 6" H, 9' 8" W, 23' 1" L, w/floor; 1 hp, medium-temp, top-mounted unit (+38°F); 26-gauge embossed, galvanized interior &amp; exterior; .100 smooth aluminum floor; 2 1/2" dial thermometer</t>
  </si>
  <si>
    <t>Years for Cost Recovery (item fully expensed)</t>
  </si>
  <si>
    <t>Units Needed for This Operation</t>
  </si>
  <si>
    <t>Cost per Market Oyster</t>
  </si>
  <si>
    <t>Table 1. Evaluation of line items based on percentage of total budget cost. Shows that labor (including workers' comp) and gear are the two biggest expenses.</t>
  </si>
  <si>
    <t>Average market price</t>
  </si>
  <si>
    <t>Annual interest on loan (boat, motor, hoist, trailer)</t>
  </si>
  <si>
    <t>Shellfish Ground Leasing</t>
  </si>
  <si>
    <t>Shellfish Aquaculture Permits</t>
  </si>
  <si>
    <t>Cost varies</t>
  </si>
  <si>
    <t>Line Item</t>
  </si>
  <si>
    <t>Approx. Miles per Week</t>
  </si>
  <si>
    <t>Miles per Gallon</t>
  </si>
  <si>
    <t>Cost per Gallon</t>
  </si>
  <si>
    <t>Weeks per Year</t>
  </si>
  <si>
    <t>Gallons per Year</t>
  </si>
  <si>
    <t>Protective gear (gloves, foul weather, etc.)</t>
  </si>
  <si>
    <t>(full-time [FT] = 2,080 hours; part-time [PT] = 960 hours)</t>
  </si>
  <si>
    <t xml:space="preserve">Hercules brand 8' slip in box/body ($6,500) and refrigeration unit ($6,200)  </t>
  </si>
  <si>
    <t>Annual per Unit Depreciation Expense</t>
  </si>
  <si>
    <t xml:space="preserve">     TOTAL</t>
  </si>
  <si>
    <t>Debt Servicing (barge, motor, hoist)</t>
  </si>
  <si>
    <t>Depreciation Expense (noncash)</t>
  </si>
  <si>
    <t>To start modifying your budget, click on the START box or select the Oyster Crop Budget tab at the bottom of the screen.</t>
  </si>
  <si>
    <t>2.  Operating Expenses</t>
  </si>
  <si>
    <t>Price or Cost per Unit</t>
  </si>
  <si>
    <r>
      <rPr>
        <b/>
        <sz val="12"/>
        <color indexed="8"/>
        <rFont val="Arial"/>
      </rPr>
      <t xml:space="preserve">Instructions: </t>
    </r>
    <r>
      <rPr>
        <sz val="12"/>
        <color indexed="8"/>
        <rFont val="Arial"/>
      </rPr>
      <t>Start by entering the target annual oyster sales. This sales number will be the basis to calculate expected costs and returns for Years 1 and 2 for a representative farm based on variables chosen with industry guidance. If you choose, most other variables in this worksheet (columns C &amp; D) can be changed; however, those that have the most impact are identified by a maroon color with a diagonal line hatch. Changes to the depreciation expenses must be made in the Line Item Notes worksheet by selecting that tab at the bottom of the screen. Many cells are locked to protect proper functioning of the spreadsheet. For a complete set of instructions, please</t>
    </r>
    <r>
      <rPr>
        <sz val="12"/>
        <color theme="8" tint="-0.249977111117893"/>
        <rFont val="Arial"/>
      </rPr>
      <t xml:space="preserve"> </t>
    </r>
    <r>
      <rPr>
        <sz val="12"/>
        <rFont val="Arial"/>
        <family val="2"/>
      </rPr>
      <t>see Virginia Cooperative Extension publication AAEC-40P, "Cultchless (Single-Seed) Oyster Crop Budgets for Virginia: 2013 User Manual," that accompanies these worksheets.</t>
    </r>
  </si>
  <si>
    <t>Surveying − VMRC survey for lease assignment</t>
  </si>
  <si>
    <r>
      <rPr>
        <sz val="12"/>
        <rFont val="Arial"/>
        <family val="2"/>
      </rPr>
      <t>The following table uses the information in the spreadsheet to provide a range of returns in Year 2 based on mortality rate and market price. Red numbers in parentheses refer to negative returns. Keep in mind that costs associated with marketing are not included</t>
    </r>
    <r>
      <rPr>
        <sz val="14"/>
        <rFont val="Arial"/>
      </rPr>
      <t>.</t>
    </r>
  </si>
  <si>
    <t>Cost per Cage</t>
  </si>
  <si>
    <t xml:space="preserve"> 4. Fixed Costs</t>
  </si>
  <si>
    <t>Period (yrs)</t>
  </si>
  <si>
    <t>24' Carolina skiff w/small console, stainless-steel steering wheel, and 12-gal tank, 150 hp Yamaha; davit crane with mechanized hoist, trailer</t>
  </si>
  <si>
    <t xml:space="preserve">Target annual oyster sales </t>
  </si>
  <si>
    <t>Capital item (includes boat, motor, hoist, trailer)</t>
  </si>
  <si>
    <t xml:space="preserve">     Total Annual Expenses</t>
  </si>
  <si>
    <t xml:space="preserve">     Total Fixed Costs</t>
  </si>
  <si>
    <t xml:space="preserve">     Total Operating Expenses</t>
  </si>
  <si>
    <t>Gallons per year</t>
  </si>
  <si>
    <t>Annual cost</t>
  </si>
  <si>
    <t>Per boat annual cost</t>
  </si>
  <si>
    <t>Per truck annual cost</t>
  </si>
  <si>
    <t>Legal fees (Year 1 only, entity structuring)</t>
  </si>
  <si>
    <t>20 lb bag</t>
  </si>
  <si>
    <t>Annual repair costs per cage</t>
  </si>
</sst>
</file>

<file path=xl/styles.xml><?xml version="1.0" encoding="utf-8"?>
<styleSheet xmlns="http://schemas.openxmlformats.org/spreadsheetml/2006/main">
  <numFmts count="14">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00"/>
    <numFmt numFmtId="165" formatCode="_(* #,##0_);_(* \(#,##0\);_(* &quot;-&quot;??_);_(@_)"/>
    <numFmt numFmtId="166" formatCode="&quot;$&quot;#,##0"/>
    <numFmt numFmtId="167" formatCode="0_);\(0\)"/>
    <numFmt numFmtId="168" formatCode=";\,;\,;\,"/>
    <numFmt numFmtId="169" formatCode="0.0%"/>
    <numFmt numFmtId="170" formatCode="&quot;$&quot;#,##0.000"/>
    <numFmt numFmtId="171" formatCode="&quot;$&quot;#,##0.0000"/>
    <numFmt numFmtId="172" formatCode="0.0000%"/>
  </numFmts>
  <fonts count="53">
    <font>
      <sz val="11"/>
      <color theme="1"/>
      <name val="Calibri"/>
      <family val="2"/>
      <scheme val="minor"/>
    </font>
    <font>
      <sz val="12"/>
      <color theme="1"/>
      <name val="Calibri"/>
      <family val="2"/>
      <scheme val="minor"/>
    </font>
    <font>
      <u/>
      <sz val="9.35"/>
      <color indexed="12"/>
      <name val="Calibri"/>
      <family val="2"/>
    </font>
    <font>
      <b/>
      <sz val="9"/>
      <color indexed="81"/>
      <name val="Tahoma"/>
      <family val="2"/>
    </font>
    <font>
      <sz val="10"/>
      <name val="Arial"/>
    </font>
    <font>
      <b/>
      <sz val="12"/>
      <name val="Arial"/>
      <family val="2"/>
    </font>
    <font>
      <sz val="12"/>
      <name val="Arial"/>
      <family val="2"/>
    </font>
    <font>
      <b/>
      <sz val="16"/>
      <color indexed="8"/>
      <name val="Arial"/>
      <family val="2"/>
    </font>
    <font>
      <sz val="9"/>
      <color indexed="81"/>
      <name val="Tahoma"/>
      <family val="2"/>
    </font>
    <font>
      <b/>
      <sz val="11"/>
      <name val="Arial"/>
      <family val="2"/>
    </font>
    <font>
      <sz val="11"/>
      <name val="Arial"/>
      <family val="2"/>
    </font>
    <font>
      <sz val="11"/>
      <color theme="1"/>
      <name val="Calibri"/>
      <family val="2"/>
      <scheme val="minor"/>
    </font>
    <font>
      <sz val="11"/>
      <color theme="0"/>
      <name val="Calibri"/>
      <family val="2"/>
      <scheme val="minor"/>
    </font>
    <font>
      <sz val="10"/>
      <color theme="1"/>
      <name val="Arial"/>
      <family val="2"/>
    </font>
    <font>
      <b/>
      <sz val="10"/>
      <color theme="1"/>
      <name val="Arial"/>
      <family val="2"/>
    </font>
    <font>
      <sz val="10"/>
      <color rgb="FFFF0000"/>
      <name val="Arial"/>
      <family val="2"/>
    </font>
    <font>
      <b/>
      <u/>
      <sz val="10"/>
      <color theme="1"/>
      <name val="Arial"/>
      <family val="2"/>
    </font>
    <font>
      <sz val="12"/>
      <color theme="1"/>
      <name val="Arial"/>
      <family val="2"/>
    </font>
    <font>
      <b/>
      <sz val="12"/>
      <color theme="1"/>
      <name val="Arial"/>
      <family val="2"/>
    </font>
    <font>
      <sz val="12"/>
      <color rgb="FFFF0000"/>
      <name val="Arial"/>
      <family val="2"/>
    </font>
    <font>
      <b/>
      <sz val="16"/>
      <color theme="1"/>
      <name val="Arial"/>
      <family val="2"/>
    </font>
    <font>
      <sz val="11"/>
      <color theme="1"/>
      <name val="Arial"/>
      <family val="2"/>
    </font>
    <font>
      <b/>
      <sz val="11"/>
      <color theme="1"/>
      <name val="Arial"/>
      <family val="2"/>
    </font>
    <font>
      <i/>
      <sz val="12"/>
      <color theme="1"/>
      <name val="Arial"/>
      <family val="2"/>
    </font>
    <font>
      <sz val="10"/>
      <color theme="0" tint="-0.499984740745262"/>
      <name val="Arial"/>
      <family val="2"/>
    </font>
    <font>
      <b/>
      <sz val="12"/>
      <color theme="0"/>
      <name val="Arial"/>
      <family val="2"/>
    </font>
    <font>
      <sz val="16"/>
      <color theme="3"/>
      <name val="Arial"/>
      <family val="2"/>
    </font>
    <font>
      <b/>
      <sz val="14"/>
      <color theme="1"/>
      <name val="Arial"/>
      <family val="2"/>
    </font>
    <font>
      <b/>
      <u/>
      <sz val="12"/>
      <color theme="1"/>
      <name val="Arial"/>
      <family val="2"/>
    </font>
    <font>
      <sz val="8"/>
      <color theme="0" tint="-0.34998626667073579"/>
      <name val="Arial"/>
      <family val="2"/>
    </font>
    <font>
      <b/>
      <i/>
      <sz val="11"/>
      <color theme="5" tint="-0.249977111117893"/>
      <name val="Arial"/>
      <family val="2"/>
    </font>
    <font>
      <b/>
      <sz val="16"/>
      <color theme="0"/>
      <name val="Arial"/>
      <family val="2"/>
    </font>
    <font>
      <sz val="12"/>
      <color theme="0"/>
      <name val="Arial"/>
      <family val="2"/>
    </font>
    <font>
      <b/>
      <sz val="12"/>
      <color theme="5" tint="-0.249977111117893"/>
      <name val="Arial"/>
      <family val="2"/>
    </font>
    <font>
      <sz val="14"/>
      <color theme="1"/>
      <name val="Arial"/>
      <family val="2"/>
    </font>
    <font>
      <sz val="16"/>
      <color theme="0"/>
      <name val="Arial"/>
      <family val="2"/>
    </font>
    <font>
      <sz val="8"/>
      <name val="Calibri"/>
      <family val="2"/>
      <scheme val="minor"/>
    </font>
    <font>
      <u/>
      <sz val="11"/>
      <color theme="11"/>
      <name val="Calibri"/>
      <family val="2"/>
      <scheme val="minor"/>
    </font>
    <font>
      <sz val="10"/>
      <color theme="0"/>
      <name val="Arial"/>
    </font>
    <font>
      <b/>
      <sz val="12"/>
      <color indexed="8"/>
      <name val="Arial"/>
    </font>
    <font>
      <sz val="12"/>
      <color indexed="8"/>
      <name val="Arial"/>
    </font>
    <font>
      <sz val="12"/>
      <color theme="8" tint="-0.249977111117893"/>
      <name val="Arial"/>
    </font>
    <font>
      <b/>
      <sz val="24"/>
      <color theme="1"/>
      <name val="Arial"/>
    </font>
    <font>
      <sz val="14"/>
      <name val="Arial"/>
    </font>
    <font>
      <i/>
      <sz val="12"/>
      <color theme="1"/>
      <name val="Calibri"/>
      <family val="2"/>
      <scheme val="minor"/>
    </font>
    <font>
      <b/>
      <sz val="14"/>
      <color indexed="8"/>
      <name val="Arial"/>
    </font>
    <font>
      <b/>
      <sz val="24"/>
      <color theme="0"/>
      <name val="Arial"/>
    </font>
    <font>
      <b/>
      <i/>
      <sz val="11"/>
      <color rgb="FF963634"/>
      <name val="Arial"/>
    </font>
    <font>
      <b/>
      <sz val="12"/>
      <color rgb="FFFFFFFF"/>
      <name val="Arial"/>
    </font>
    <font>
      <b/>
      <sz val="16"/>
      <color theme="1"/>
      <name val="Calibri"/>
      <family val="2"/>
      <scheme val="minor"/>
    </font>
    <font>
      <sz val="11.5"/>
      <color theme="1"/>
      <name val="Arial"/>
    </font>
    <font>
      <b/>
      <sz val="12"/>
      <color rgb="FFFF0000"/>
      <name val="Arial"/>
    </font>
    <font>
      <sz val="11"/>
      <color rgb="FFFF0000"/>
      <name val="Arial"/>
    </font>
  </fonts>
  <fills count="12">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lightUp">
        <fgColor theme="0" tint="-0.24994659260841701"/>
        <bgColor theme="5" tint="-0.249977111117893"/>
      </patternFill>
    </fill>
    <fill>
      <patternFill patternType="lightUp">
        <fgColor theme="0" tint="-0.24994659260841701"/>
        <bgColor indexed="65"/>
      </patternFill>
    </fill>
    <fill>
      <patternFill patternType="solid">
        <fgColor theme="0"/>
        <bgColor indexed="64"/>
      </patternFill>
    </fill>
    <fill>
      <patternFill patternType="lightUp">
        <bgColor theme="4" tint="-0.249977111117893"/>
      </patternFill>
    </fill>
    <fill>
      <patternFill patternType="solid">
        <fgColor rgb="FF4F81BD"/>
        <bgColor rgb="FF000000"/>
      </patternFill>
    </fill>
    <fill>
      <patternFill patternType="lightUp">
        <fgColor theme="0" tint="-0.24994659260841701"/>
        <bgColor rgb="FF963634"/>
      </patternFill>
    </fill>
    <fill>
      <patternFill patternType="lightUp">
        <fgColor theme="0" tint="-0.14999847407452621"/>
        <bgColor rgb="FF800000"/>
      </patternFill>
    </fill>
    <fill>
      <patternFill patternType="lightUp">
        <fgColor theme="0" tint="-0.24994659260841701"/>
        <bgColor rgb="FF800000"/>
      </patternFill>
    </fill>
  </fills>
  <borders count="44">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bottom/>
      <diagonal/>
    </border>
    <border>
      <left style="thin">
        <color auto="1"/>
      </left>
      <right/>
      <top/>
      <bottom style="thin">
        <color auto="1"/>
      </bottom>
      <diagonal/>
    </border>
    <border>
      <left/>
      <right/>
      <top style="thin">
        <color auto="1"/>
      </top>
      <bottom style="medium">
        <color auto="1"/>
      </bottom>
      <diagonal/>
    </border>
    <border>
      <left/>
      <right style="medium">
        <color auto="1"/>
      </right>
      <top/>
      <bottom style="thin">
        <color auto="1"/>
      </bottom>
      <diagonal/>
    </border>
    <border>
      <left style="medium">
        <color auto="1"/>
      </left>
      <right style="thin">
        <color auto="1"/>
      </right>
      <top style="medium">
        <color auto="1"/>
      </top>
      <bottom/>
      <diagonal/>
    </border>
    <border>
      <left style="medium">
        <color auto="1"/>
      </left>
      <right style="thin">
        <color auto="1"/>
      </right>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top style="medium">
        <color auto="1"/>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double">
        <color auto="1"/>
      </top>
      <bottom style="double">
        <color auto="1"/>
      </bottom>
      <diagonal/>
    </border>
    <border>
      <left/>
      <right/>
      <top style="medium">
        <color auto="1"/>
      </top>
      <bottom style="thin">
        <color auto="1"/>
      </bottom>
      <diagonal/>
    </border>
  </borders>
  <cellStyleXfs count="30">
    <xf numFmtId="0" fontId="0" fillId="0" borderId="0"/>
    <xf numFmtId="43" fontId="11" fillId="0" borderId="0" applyFont="0" applyFill="0" applyBorder="0" applyAlignment="0" applyProtection="0"/>
    <xf numFmtId="44" fontId="11" fillId="0" borderId="0" applyFont="0" applyFill="0" applyBorder="0" applyAlignment="0" applyProtection="0"/>
    <xf numFmtId="0" fontId="2" fillId="0" borderId="0" applyNumberFormat="0" applyFill="0" applyBorder="0" applyAlignment="0" applyProtection="0">
      <alignment vertical="top"/>
      <protection locked="0"/>
    </xf>
    <xf numFmtId="9" fontId="1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cellStyleXfs>
  <cellXfs count="356">
    <xf numFmtId="0" fontId="0" fillId="0" borderId="0" xfId="0"/>
    <xf numFmtId="0" fontId="13" fillId="0" borderId="0" xfId="0" applyFont="1" applyBorder="1"/>
    <xf numFmtId="0" fontId="13" fillId="0" borderId="0" xfId="0" applyFont="1"/>
    <xf numFmtId="0" fontId="13" fillId="0" borderId="0" xfId="0" applyFont="1" applyBorder="1" applyAlignment="1">
      <alignment horizontal="right"/>
    </xf>
    <xf numFmtId="0" fontId="14" fillId="0" borderId="0" xfId="0" applyFont="1" applyAlignment="1">
      <alignment wrapText="1"/>
    </xf>
    <xf numFmtId="0" fontId="13" fillId="0" borderId="0" xfId="0" applyFont="1" applyAlignment="1">
      <alignment wrapText="1"/>
    </xf>
    <xf numFmtId="0" fontId="15" fillId="0" borderId="0" xfId="0" applyFont="1" applyFill="1"/>
    <xf numFmtId="44" fontId="13" fillId="0" borderId="0" xfId="2" applyFont="1" applyAlignment="1">
      <alignment horizontal="right"/>
    </xf>
    <xf numFmtId="0" fontId="13" fillId="0" borderId="0" xfId="0" applyFont="1" applyAlignment="1">
      <alignment horizontal="right"/>
    </xf>
    <xf numFmtId="0" fontId="13" fillId="0" borderId="0" xfId="0" applyFont="1" applyBorder="1" applyAlignment="1">
      <alignment wrapText="1"/>
    </xf>
    <xf numFmtId="0" fontId="13" fillId="0" borderId="0" xfId="0" applyFont="1" applyFill="1" applyBorder="1" applyAlignment="1">
      <alignment horizontal="center"/>
    </xf>
    <xf numFmtId="0" fontId="16" fillId="0" borderId="0" xfId="0" applyFont="1" applyBorder="1" applyAlignment="1">
      <alignment horizontal="center"/>
    </xf>
    <xf numFmtId="0" fontId="17" fillId="0" borderId="0" xfId="0" applyFont="1" applyBorder="1" applyAlignment="1">
      <alignment horizontal="right"/>
    </xf>
    <xf numFmtId="0" fontId="17" fillId="0" borderId="0" xfId="0" applyFont="1"/>
    <xf numFmtId="0" fontId="17" fillId="0" borderId="1" xfId="0" applyFont="1" applyBorder="1" applyAlignment="1">
      <alignment horizontal="left"/>
    </xf>
    <xf numFmtId="165" fontId="17" fillId="0" borderId="1" xfId="1" applyNumberFormat="1" applyFont="1" applyBorder="1" applyAlignment="1">
      <alignment horizontal="right"/>
    </xf>
    <xf numFmtId="0" fontId="18" fillId="0" borderId="1" xfId="0" applyFont="1" applyBorder="1"/>
    <xf numFmtId="0" fontId="6" fillId="0" borderId="1" xfId="0" applyFont="1" applyBorder="1"/>
    <xf numFmtId="44" fontId="17" fillId="0" borderId="0" xfId="2" applyFont="1"/>
    <xf numFmtId="0" fontId="17" fillId="0" borderId="0" xfId="0" applyFont="1" applyBorder="1" applyAlignment="1">
      <alignment horizontal="center"/>
    </xf>
    <xf numFmtId="3" fontId="17" fillId="0" borderId="0" xfId="0" applyNumberFormat="1" applyFont="1" applyBorder="1" applyAlignment="1">
      <alignment horizontal="center"/>
    </xf>
    <xf numFmtId="42" fontId="17" fillId="0" borderId="0" xfId="0" applyNumberFormat="1" applyFont="1"/>
    <xf numFmtId="44" fontId="17" fillId="0" borderId="0" xfId="0" applyNumberFormat="1" applyFont="1"/>
    <xf numFmtId="42" fontId="17" fillId="0" borderId="0" xfId="0" applyNumberFormat="1" applyFont="1" applyFill="1" applyBorder="1"/>
    <xf numFmtId="0" fontId="17" fillId="0" borderId="0" xfId="0" applyFont="1" applyFill="1" applyBorder="1"/>
    <xf numFmtId="1" fontId="17" fillId="0" borderId="0" xfId="0" applyNumberFormat="1" applyFont="1" applyFill="1" applyBorder="1"/>
    <xf numFmtId="44" fontId="17" fillId="0" borderId="0" xfId="0" applyNumberFormat="1" applyFont="1" applyFill="1" applyBorder="1"/>
    <xf numFmtId="44" fontId="19" fillId="0" borderId="0" xfId="0" applyNumberFormat="1" applyFont="1"/>
    <xf numFmtId="0" fontId="18" fillId="0" borderId="0" xfId="0" applyFont="1"/>
    <xf numFmtId="165" fontId="17" fillId="0" borderId="1" xfId="0" applyNumberFormat="1" applyFont="1" applyBorder="1" applyAlignment="1">
      <alignment horizontal="right"/>
    </xf>
    <xf numFmtId="0" fontId="4" fillId="0" borderId="0" xfId="0" applyFont="1" applyFill="1"/>
    <xf numFmtId="0" fontId="13" fillId="0" borderId="0" xfId="0" applyFont="1" applyFill="1" applyBorder="1"/>
    <xf numFmtId="0" fontId="17" fillId="0" borderId="0" xfId="0" applyFont="1" applyAlignment="1">
      <alignment wrapText="1"/>
    </xf>
    <xf numFmtId="3" fontId="17" fillId="0" borderId="1" xfId="0" applyNumberFormat="1" applyFont="1" applyBorder="1" applyAlignment="1">
      <alignment horizontal="right"/>
    </xf>
    <xf numFmtId="0" fontId="18" fillId="0" borderId="1" xfId="0" applyFont="1" applyBorder="1" applyAlignment="1">
      <alignment horizontal="right"/>
    </xf>
    <xf numFmtId="0" fontId="21" fillId="0" borderId="0" xfId="0" applyFont="1" applyBorder="1"/>
    <xf numFmtId="44" fontId="13" fillId="0" borderId="0" xfId="2" applyFont="1" applyBorder="1" applyAlignment="1">
      <alignment horizontal="right"/>
    </xf>
    <xf numFmtId="1" fontId="21" fillId="0" borderId="0" xfId="0" applyNumberFormat="1" applyFont="1" applyBorder="1"/>
    <xf numFmtId="1" fontId="21" fillId="0" borderId="0" xfId="0" applyNumberFormat="1" applyFont="1"/>
    <xf numFmtId="0" fontId="6" fillId="0" borderId="1" xfId="0" applyFont="1" applyFill="1" applyBorder="1"/>
    <xf numFmtId="0" fontId="19" fillId="0" borderId="1" xfId="0" applyFont="1" applyBorder="1"/>
    <xf numFmtId="0" fontId="19" fillId="0" borderId="1" xfId="0" applyFont="1" applyBorder="1" applyAlignment="1">
      <alignment horizontal="right"/>
    </xf>
    <xf numFmtId="0" fontId="21" fillId="0" borderId="0" xfId="0" applyFont="1" applyAlignment="1">
      <alignment horizontal="center"/>
    </xf>
    <xf numFmtId="0" fontId="22" fillId="0" borderId="0" xfId="0" applyFont="1"/>
    <xf numFmtId="0" fontId="21" fillId="0" borderId="0" xfId="0" applyFont="1"/>
    <xf numFmtId="0" fontId="23" fillId="0" borderId="0" xfId="0" applyFont="1"/>
    <xf numFmtId="9" fontId="22" fillId="0" borderId="0" xfId="4" applyFont="1" applyBorder="1" applyAlignment="1">
      <alignment horizontal="center"/>
    </xf>
    <xf numFmtId="165" fontId="17" fillId="0" borderId="1" xfId="1" applyNumberFormat="1" applyFont="1" applyFill="1" applyBorder="1" applyAlignment="1">
      <alignment horizontal="right"/>
    </xf>
    <xf numFmtId="17" fontId="26" fillId="2" borderId="0" xfId="0" applyNumberFormat="1" applyFont="1" applyFill="1" applyBorder="1" applyAlignment="1">
      <alignment horizontal="right"/>
    </xf>
    <xf numFmtId="0" fontId="26" fillId="2" borderId="0" xfId="0" applyFont="1" applyFill="1" applyBorder="1" applyAlignment="1"/>
    <xf numFmtId="0" fontId="22" fillId="0" borderId="0" xfId="0" applyFont="1" applyBorder="1"/>
    <xf numFmtId="168" fontId="21" fillId="0" borderId="0" xfId="0" applyNumberFormat="1" applyFont="1" applyBorder="1"/>
    <xf numFmtId="0" fontId="21" fillId="0" borderId="0" xfId="0" applyFont="1" applyBorder="1" applyAlignment="1">
      <alignment horizontal="center"/>
    </xf>
    <xf numFmtId="10" fontId="21" fillId="0" borderId="0" xfId="0" applyNumberFormat="1" applyFont="1" applyBorder="1"/>
    <xf numFmtId="6" fontId="21" fillId="0" borderId="0" xfId="0" applyNumberFormat="1" applyFont="1" applyBorder="1"/>
    <xf numFmtId="0" fontId="14" fillId="0" borderId="0" xfId="0" applyFont="1" applyBorder="1" applyAlignment="1">
      <alignment wrapText="1"/>
    </xf>
    <xf numFmtId="0" fontId="18" fillId="0" borderId="0" xfId="0" applyFont="1" applyAlignment="1">
      <alignment wrapText="1"/>
    </xf>
    <xf numFmtId="0" fontId="18" fillId="0" borderId="0" xfId="0" applyFont="1" applyFill="1" applyBorder="1" applyAlignment="1">
      <alignment wrapText="1"/>
    </xf>
    <xf numFmtId="37" fontId="6" fillId="0" borderId="1" xfId="0" applyNumberFormat="1" applyFont="1" applyFill="1" applyBorder="1" applyAlignment="1">
      <alignment horizontal="right"/>
    </xf>
    <xf numFmtId="0" fontId="16" fillId="0" borderId="0" xfId="0" applyFont="1" applyBorder="1"/>
    <xf numFmtId="0" fontId="0" fillId="0" borderId="0" xfId="0" applyBorder="1" applyAlignment="1"/>
    <xf numFmtId="0" fontId="6" fillId="0" borderId="1" xfId="0" applyFont="1" applyFill="1" applyBorder="1" applyAlignment="1">
      <alignment wrapText="1"/>
    </xf>
    <xf numFmtId="0" fontId="6" fillId="0" borderId="1" xfId="0" applyFont="1" applyBorder="1" applyAlignment="1">
      <alignment horizontal="right"/>
    </xf>
    <xf numFmtId="0" fontId="17" fillId="0" borderId="1" xfId="0" applyFont="1" applyBorder="1" applyAlignment="1">
      <alignment horizontal="right" wrapText="1"/>
    </xf>
    <xf numFmtId="0" fontId="15" fillId="0" borderId="0" xfId="0" applyFont="1" applyFill="1" applyBorder="1"/>
    <xf numFmtId="0" fontId="27" fillId="0" borderId="0" xfId="0" applyFont="1" applyBorder="1" applyAlignment="1">
      <alignment wrapText="1"/>
    </xf>
    <xf numFmtId="0" fontId="14" fillId="0" borderId="0" xfId="0" applyFont="1" applyBorder="1"/>
    <xf numFmtId="0" fontId="16" fillId="0" borderId="0" xfId="0" applyFont="1" applyBorder="1" applyAlignment="1">
      <alignment wrapText="1"/>
    </xf>
    <xf numFmtId="44" fontId="16" fillId="0" borderId="0" xfId="2" applyFont="1" applyBorder="1" applyAlignment="1">
      <alignment horizontal="right"/>
    </xf>
    <xf numFmtId="44" fontId="14" fillId="0" borderId="0" xfId="2" applyFont="1" applyBorder="1" applyAlignment="1">
      <alignment horizontal="right"/>
    </xf>
    <xf numFmtId="9" fontId="21" fillId="0" borderId="0" xfId="0" applyNumberFormat="1" applyFont="1" applyBorder="1"/>
    <xf numFmtId="169" fontId="21" fillId="0" borderId="0" xfId="0" applyNumberFormat="1" applyFont="1" applyBorder="1"/>
    <xf numFmtId="0" fontId="9" fillId="0" borderId="0" xfId="0" applyFont="1" applyBorder="1" applyAlignment="1">
      <alignment horizontal="center" wrapText="1"/>
    </xf>
    <xf numFmtId="0" fontId="21" fillId="0" borderId="2" xfId="0" applyFont="1" applyBorder="1"/>
    <xf numFmtId="0" fontId="22" fillId="0" borderId="4" xfId="0" applyFont="1" applyBorder="1"/>
    <xf numFmtId="0" fontId="9" fillId="0" borderId="6" xfId="0" applyFont="1" applyBorder="1" applyAlignment="1">
      <alignment horizontal="center" wrapText="1"/>
    </xf>
    <xf numFmtId="0" fontId="21" fillId="0" borderId="6" xfId="0" applyFont="1" applyBorder="1"/>
    <xf numFmtId="169" fontId="21" fillId="0" borderId="6" xfId="0" applyNumberFormat="1" applyFont="1" applyBorder="1"/>
    <xf numFmtId="0" fontId="21" fillId="0" borderId="4" xfId="0" applyFont="1" applyBorder="1"/>
    <xf numFmtId="169" fontId="22" fillId="0" borderId="6" xfId="0" applyNumberFormat="1" applyFont="1" applyBorder="1"/>
    <xf numFmtId="0" fontId="22" fillId="0" borderId="4" xfId="0" applyFont="1" applyBorder="1" applyAlignment="1">
      <alignment wrapText="1"/>
    </xf>
    <xf numFmtId="0" fontId="22" fillId="0" borderId="9" xfId="0" applyFont="1" applyBorder="1" applyAlignment="1">
      <alignment wrapText="1"/>
    </xf>
    <xf numFmtId="0" fontId="10" fillId="0" borderId="10" xfId="0" applyFont="1" applyBorder="1"/>
    <xf numFmtId="0" fontId="10" fillId="0" borderId="10" xfId="0" applyFont="1" applyFill="1" applyBorder="1"/>
    <xf numFmtId="0" fontId="22" fillId="0" borderId="10" xfId="0" applyFont="1" applyBorder="1"/>
    <xf numFmtId="0" fontId="21" fillId="0" borderId="10" xfId="0" applyFont="1" applyBorder="1"/>
    <xf numFmtId="9" fontId="29" fillId="0" borderId="0" xfId="0" applyNumberFormat="1" applyFont="1" applyBorder="1"/>
    <xf numFmtId="0" fontId="10" fillId="0" borderId="11" xfId="0" applyFont="1" applyBorder="1"/>
    <xf numFmtId="0" fontId="10" fillId="0" borderId="11" xfId="0" applyFont="1" applyFill="1" applyBorder="1"/>
    <xf numFmtId="0" fontId="21" fillId="0" borderId="5" xfId="0" applyFont="1" applyBorder="1"/>
    <xf numFmtId="44" fontId="22" fillId="0" borderId="6" xfId="0" applyNumberFormat="1" applyFont="1" applyBorder="1"/>
    <xf numFmtId="0" fontId="21" fillId="0" borderId="8" xfId="0" applyFont="1" applyBorder="1"/>
    <xf numFmtId="169" fontId="21" fillId="0" borderId="0" xfId="0" applyNumberFormat="1" applyFont="1" applyFill="1" applyBorder="1"/>
    <xf numFmtId="169" fontId="21" fillId="0" borderId="12" xfId="0" applyNumberFormat="1" applyFont="1" applyBorder="1"/>
    <xf numFmtId="0" fontId="22" fillId="0" borderId="9" xfId="0" applyFont="1" applyBorder="1"/>
    <xf numFmtId="3" fontId="13" fillId="0" borderId="0" xfId="0" applyNumberFormat="1" applyFont="1"/>
    <xf numFmtId="0" fontId="4" fillId="0" borderId="0" xfId="0" applyFont="1" applyFill="1" applyBorder="1"/>
    <xf numFmtId="0" fontId="21" fillId="0" borderId="10" xfId="0" applyFont="1" applyFill="1" applyBorder="1"/>
    <xf numFmtId="169" fontId="21" fillId="0" borderId="12" xfId="0" applyNumberFormat="1" applyFont="1" applyFill="1" applyBorder="1"/>
    <xf numFmtId="0" fontId="17" fillId="0" borderId="1" xfId="0" applyFont="1" applyBorder="1"/>
    <xf numFmtId="0" fontId="17" fillId="0" borderId="1" xfId="0" applyFont="1" applyBorder="1" applyAlignment="1">
      <alignment horizontal="right"/>
    </xf>
    <xf numFmtId="0" fontId="0" fillId="0" borderId="0" xfId="0" applyAlignment="1">
      <alignment wrapText="1"/>
    </xf>
    <xf numFmtId="3" fontId="17" fillId="0" borderId="1" xfId="0" applyNumberFormat="1" applyFont="1" applyBorder="1" applyProtection="1">
      <protection locked="0"/>
    </xf>
    <xf numFmtId="0" fontId="17" fillId="0" borderId="1" xfId="0" applyFont="1" applyBorder="1" applyAlignment="1" applyProtection="1">
      <alignment horizontal="right"/>
      <protection locked="0"/>
    </xf>
    <xf numFmtId="0" fontId="17" fillId="0" borderId="1" xfId="0" applyFont="1" applyBorder="1" applyProtection="1">
      <protection locked="0"/>
    </xf>
    <xf numFmtId="37" fontId="17" fillId="0" borderId="1" xfId="0" applyNumberFormat="1" applyFont="1" applyBorder="1" applyProtection="1">
      <protection locked="0"/>
    </xf>
    <xf numFmtId="49" fontId="32" fillId="2" borderId="0" xfId="0" applyNumberFormat="1" applyFont="1" applyFill="1" applyBorder="1" applyAlignment="1">
      <alignment horizontal="left"/>
    </xf>
    <xf numFmtId="3" fontId="17" fillId="0" borderId="1" xfId="0" applyNumberFormat="1" applyFont="1" applyBorder="1" applyAlignment="1" applyProtection="1">
      <alignment horizontal="right"/>
      <protection locked="0"/>
    </xf>
    <xf numFmtId="0" fontId="33" fillId="5" borderId="1" xfId="0" applyFont="1" applyFill="1" applyBorder="1" applyProtection="1">
      <protection locked="0"/>
    </xf>
    <xf numFmtId="165" fontId="33" fillId="5" borderId="1" xfId="0" applyNumberFormat="1" applyFont="1" applyFill="1" applyBorder="1" applyAlignment="1" applyProtection="1">
      <alignment horizontal="right"/>
      <protection locked="0"/>
    </xf>
    <xf numFmtId="37" fontId="33" fillId="5" borderId="1" xfId="0" applyNumberFormat="1" applyFont="1" applyFill="1" applyBorder="1" applyAlignment="1" applyProtection="1">
      <alignment horizontal="right"/>
      <protection locked="0"/>
    </xf>
    <xf numFmtId="3" fontId="33" fillId="5" borderId="1" xfId="0" applyNumberFormat="1" applyFont="1" applyFill="1" applyBorder="1" applyAlignment="1" applyProtection="1">
      <alignment horizontal="right"/>
      <protection locked="0"/>
    </xf>
    <xf numFmtId="0" fontId="22" fillId="0" borderId="0" xfId="0" applyFont="1" applyBorder="1" applyAlignment="1">
      <alignment wrapText="1"/>
    </xf>
    <xf numFmtId="44" fontId="21" fillId="0" borderId="0" xfId="0" applyNumberFormat="1" applyFont="1" applyBorder="1"/>
    <xf numFmtId="0" fontId="21" fillId="0" borderId="0" xfId="0" applyFont="1" applyBorder="1" applyAlignment="1">
      <alignment wrapText="1"/>
    </xf>
    <xf numFmtId="0" fontId="2" fillId="0" borderId="0" xfId="3" applyFill="1" applyAlignment="1" applyProtection="1">
      <alignment horizontal="center" vertical="center"/>
    </xf>
    <xf numFmtId="0" fontId="17" fillId="0" borderId="1" xfId="0" applyFont="1" applyFill="1" applyBorder="1" applyAlignment="1">
      <alignment horizontal="right"/>
    </xf>
    <xf numFmtId="170" fontId="21" fillId="0" borderId="12" xfId="0" applyNumberFormat="1" applyFont="1" applyBorder="1"/>
    <xf numFmtId="170" fontId="21" fillId="0" borderId="6" xfId="0" applyNumberFormat="1" applyFont="1" applyBorder="1"/>
    <xf numFmtId="170" fontId="22" fillId="0" borderId="6" xfId="0" applyNumberFormat="1" applyFont="1" applyBorder="1"/>
    <xf numFmtId="168" fontId="22" fillId="0" borderId="1" xfId="0" applyNumberFormat="1" applyFont="1" applyBorder="1"/>
    <xf numFmtId="9" fontId="22" fillId="0" borderId="1" xfId="4" applyFont="1" applyBorder="1" applyAlignment="1">
      <alignment horizontal="center"/>
    </xf>
    <xf numFmtId="0" fontId="13" fillId="0" borderId="0" xfId="0" applyFont="1" applyFill="1" applyBorder="1" applyAlignment="1">
      <alignment horizontal="right"/>
    </xf>
    <xf numFmtId="1" fontId="13" fillId="0" borderId="0" xfId="4" applyNumberFormat="1" applyFont="1" applyFill="1" applyBorder="1" applyAlignment="1" applyProtection="1">
      <alignment horizontal="right"/>
    </xf>
    <xf numFmtId="6" fontId="18" fillId="0" borderId="1" xfId="2" applyNumberFormat="1" applyFont="1" applyBorder="1" applyProtection="1"/>
    <xf numFmtId="6" fontId="17" fillId="0" borderId="1" xfId="2" applyNumberFormat="1" applyFont="1" applyBorder="1" applyProtection="1"/>
    <xf numFmtId="6" fontId="6" fillId="0" borderId="1" xfId="2" applyNumberFormat="1" applyFont="1" applyBorder="1" applyProtection="1"/>
    <xf numFmtId="6" fontId="5" fillId="0" borderId="1" xfId="2" applyNumberFormat="1" applyFont="1" applyBorder="1" applyProtection="1"/>
    <xf numFmtId="6" fontId="6" fillId="0" borderId="1" xfId="0" applyNumberFormat="1" applyFont="1" applyFill="1" applyBorder="1" applyProtection="1"/>
    <xf numFmtId="6" fontId="6" fillId="0" borderId="1" xfId="0" applyNumberFormat="1" applyFont="1" applyBorder="1" applyProtection="1"/>
    <xf numFmtId="6" fontId="17" fillId="0" borderId="1" xfId="0" applyNumberFormat="1" applyFont="1" applyBorder="1" applyProtection="1"/>
    <xf numFmtId="6" fontId="18" fillId="0" borderId="1" xfId="0" applyNumberFormat="1" applyFont="1" applyBorder="1" applyProtection="1"/>
    <xf numFmtId="6" fontId="17" fillId="0" borderId="1" xfId="2" applyNumberFormat="1" applyFont="1" applyBorder="1" applyProtection="1">
      <protection locked="0"/>
    </xf>
    <xf numFmtId="6" fontId="19" fillId="0" borderId="1" xfId="2" applyNumberFormat="1" applyFont="1" applyBorder="1" applyProtection="1"/>
    <xf numFmtId="0" fontId="38" fillId="0" borderId="0" xfId="0" applyFont="1" applyFill="1"/>
    <xf numFmtId="1" fontId="17" fillId="0" borderId="1" xfId="0" applyNumberFormat="1" applyFont="1" applyBorder="1" applyProtection="1">
      <protection locked="0"/>
    </xf>
    <xf numFmtId="0" fontId="9" fillId="0" borderId="0" xfId="0" applyFont="1" applyAlignment="1">
      <alignment horizontal="left" vertical="top"/>
    </xf>
    <xf numFmtId="0" fontId="18" fillId="0" borderId="1" xfId="0" applyFont="1" applyBorder="1" applyAlignment="1">
      <alignment horizontal="center"/>
    </xf>
    <xf numFmtId="0" fontId="27" fillId="0" borderId="0" xfId="0" applyFont="1" applyAlignment="1">
      <alignment horizontal="center"/>
    </xf>
    <xf numFmtId="169" fontId="9" fillId="3" borderId="6" xfId="0" applyNumberFormat="1" applyFont="1" applyFill="1" applyBorder="1"/>
    <xf numFmtId="170" fontId="22" fillId="3" borderId="6" xfId="0" applyNumberFormat="1" applyFont="1" applyFill="1" applyBorder="1"/>
    <xf numFmtId="171" fontId="22" fillId="3" borderId="6" xfId="0" applyNumberFormat="1" applyFont="1" applyFill="1" applyBorder="1"/>
    <xf numFmtId="0" fontId="17" fillId="0" borderId="0" xfId="0" applyFont="1" applyBorder="1" applyAlignment="1">
      <alignment wrapText="1"/>
    </xf>
    <xf numFmtId="0" fontId="28" fillId="0" borderId="0" xfId="0" applyFont="1" applyBorder="1" applyAlignment="1">
      <alignment horizontal="center"/>
    </xf>
    <xf numFmtId="37" fontId="17" fillId="0" borderId="0" xfId="2" applyNumberFormat="1" applyFont="1" applyFill="1" applyBorder="1" applyAlignment="1">
      <alignment horizontal="right"/>
    </xf>
    <xf numFmtId="44" fontId="17" fillId="0" borderId="0" xfId="0" applyNumberFormat="1" applyFont="1" applyBorder="1"/>
    <xf numFmtId="0" fontId="17" fillId="0" borderId="0" xfId="0" applyFont="1" applyBorder="1"/>
    <xf numFmtId="0" fontId="6" fillId="0" borderId="0" xfId="0" applyFont="1" applyBorder="1" applyAlignment="1">
      <alignment wrapText="1"/>
    </xf>
    <xf numFmtId="0" fontId="6" fillId="0" borderId="0" xfId="0" applyFont="1" applyFill="1" applyBorder="1" applyAlignment="1">
      <alignment wrapText="1"/>
    </xf>
    <xf numFmtId="164" fontId="17" fillId="0" borderId="0" xfId="0" applyNumberFormat="1" applyFont="1" applyBorder="1"/>
    <xf numFmtId="166" fontId="18" fillId="0" borderId="0" xfId="0" applyNumberFormat="1" applyFont="1" applyBorder="1"/>
    <xf numFmtId="0" fontId="19" fillId="0" borderId="0" xfId="0" applyFont="1" applyBorder="1" applyAlignment="1">
      <alignment wrapText="1"/>
    </xf>
    <xf numFmtId="42" fontId="17" fillId="0" borderId="0" xfId="0" applyNumberFormat="1" applyFont="1" applyBorder="1"/>
    <xf numFmtId="44" fontId="17" fillId="0" borderId="0" xfId="2" applyFont="1" applyBorder="1" applyAlignment="1">
      <alignment horizontal="right"/>
    </xf>
    <xf numFmtId="0" fontId="27" fillId="0" borderId="0" xfId="0" applyFont="1" applyBorder="1" applyAlignment="1">
      <alignment horizontal="center" wrapText="1"/>
    </xf>
    <xf numFmtId="0" fontId="17" fillId="0" borderId="1" xfId="0" applyFont="1" applyBorder="1" applyAlignment="1">
      <alignment wrapText="1"/>
    </xf>
    <xf numFmtId="0" fontId="17" fillId="0" borderId="1" xfId="0" applyFont="1" applyFill="1" applyBorder="1" applyAlignment="1">
      <alignment horizontal="left" wrapText="1"/>
    </xf>
    <xf numFmtId="0" fontId="17" fillId="0" borderId="1" xfId="0" applyFont="1" applyBorder="1" applyAlignment="1">
      <alignment horizontal="left" wrapText="1"/>
    </xf>
    <xf numFmtId="3" fontId="6" fillId="0" borderId="1" xfId="0" applyNumberFormat="1" applyFont="1" applyFill="1" applyBorder="1" applyAlignment="1" applyProtection="1">
      <alignment wrapText="1"/>
      <protection locked="0"/>
    </xf>
    <xf numFmtId="0" fontId="6" fillId="0" borderId="1" xfId="0" applyFont="1" applyFill="1" applyBorder="1" applyAlignment="1" applyProtection="1">
      <alignment wrapText="1"/>
      <protection locked="0"/>
    </xf>
    <xf numFmtId="0" fontId="6" fillId="0" borderId="1" xfId="0" applyFont="1" applyFill="1" applyBorder="1" applyAlignment="1">
      <alignment horizontal="left" wrapText="1"/>
    </xf>
    <xf numFmtId="0" fontId="17" fillId="0" borderId="0" xfId="0" applyFont="1" applyFill="1" applyBorder="1" applyAlignment="1">
      <alignment wrapText="1"/>
    </xf>
    <xf numFmtId="44" fontId="17" fillId="0" borderId="0" xfId="2" applyFont="1" applyFill="1" applyBorder="1" applyAlignment="1">
      <alignment horizontal="right"/>
    </xf>
    <xf numFmtId="0" fontId="22" fillId="0" borderId="13" xfId="0" applyFont="1" applyFill="1" applyBorder="1" applyAlignment="1">
      <alignment wrapText="1"/>
    </xf>
    <xf numFmtId="0" fontId="10" fillId="0" borderId="0" xfId="0" applyFont="1" applyBorder="1" applyAlignment="1">
      <alignment wrapText="1"/>
    </xf>
    <xf numFmtId="0" fontId="10" fillId="0" borderId="0" xfId="0" applyFont="1" applyFill="1" applyBorder="1" applyAlignment="1">
      <alignment wrapText="1"/>
    </xf>
    <xf numFmtId="0" fontId="45" fillId="0" borderId="0" xfId="0" applyFont="1" applyBorder="1" applyAlignment="1">
      <alignment horizontal="right"/>
    </xf>
    <xf numFmtId="0" fontId="22" fillId="3" borderId="4" xfId="0" applyFont="1" applyFill="1" applyBorder="1" applyAlignment="1">
      <alignment horizontal="left"/>
    </xf>
    <xf numFmtId="0" fontId="22" fillId="0" borderId="6" xfId="0" applyFont="1" applyFill="1" applyBorder="1" applyAlignment="1">
      <alignment horizontal="center" wrapText="1"/>
    </xf>
    <xf numFmtId="0" fontId="17" fillId="0" borderId="0" xfId="0" applyFont="1" applyBorder="1" applyAlignment="1">
      <alignment horizontal="center"/>
    </xf>
    <xf numFmtId="0" fontId="47" fillId="0" borderId="0" xfId="0" applyFont="1" applyBorder="1"/>
    <xf numFmtId="0" fontId="13" fillId="0" borderId="0" xfId="0" applyFont="1" applyAlignment="1">
      <alignment horizontal="center"/>
    </xf>
    <xf numFmtId="0" fontId="13" fillId="0" borderId="0" xfId="0" applyFont="1" applyBorder="1" applyAlignment="1">
      <alignment horizontal="center"/>
    </xf>
    <xf numFmtId="0" fontId="50" fillId="0" borderId="1" xfId="0" applyFont="1" applyBorder="1" applyAlignment="1">
      <alignment horizontal="right"/>
    </xf>
    <xf numFmtId="0" fontId="44" fillId="0" borderId="14" xfId="0" applyFont="1" applyBorder="1" applyAlignment="1">
      <alignment horizontal="center"/>
    </xf>
    <xf numFmtId="0" fontId="28" fillId="0" borderId="5" xfId="0" applyFont="1" applyBorder="1" applyAlignment="1">
      <alignment horizontal="center"/>
    </xf>
    <xf numFmtId="0" fontId="17" fillId="0" borderId="0" xfId="0" applyFont="1" applyFill="1" applyBorder="1" applyAlignment="1">
      <alignment horizontal="center"/>
    </xf>
    <xf numFmtId="0" fontId="1" fillId="0" borderId="0" xfId="0" applyFont="1" applyBorder="1" applyAlignment="1"/>
    <xf numFmtId="0" fontId="17" fillId="0" borderId="25" xfId="0" applyFont="1" applyBorder="1"/>
    <xf numFmtId="0" fontId="17" fillId="0" borderId="25" xfId="0" applyFont="1" applyBorder="1" applyAlignment="1">
      <alignment wrapText="1"/>
    </xf>
    <xf numFmtId="0" fontId="17" fillId="0" borderId="26" xfId="0" applyFont="1" applyBorder="1" applyAlignment="1">
      <alignment wrapText="1"/>
    </xf>
    <xf numFmtId="0" fontId="18" fillId="0" borderId="28" xfId="0" applyFont="1" applyBorder="1" applyAlignment="1">
      <alignment horizontal="center" wrapText="1"/>
    </xf>
    <xf numFmtId="0" fontId="5" fillId="0" borderId="28" xfId="0" applyFont="1" applyBorder="1" applyAlignment="1">
      <alignment horizontal="center" wrapText="1"/>
    </xf>
    <xf numFmtId="167" fontId="18" fillId="0" borderId="28" xfId="0" applyNumberFormat="1" applyFont="1" applyBorder="1" applyAlignment="1">
      <alignment horizontal="center" wrapText="1"/>
    </xf>
    <xf numFmtId="0" fontId="5" fillId="0" borderId="29" xfId="0" applyFont="1" applyBorder="1" applyAlignment="1">
      <alignment horizontal="center"/>
    </xf>
    <xf numFmtId="0" fontId="6" fillId="0" borderId="25" xfId="0" applyFont="1" applyFill="1" applyBorder="1" applyAlignment="1">
      <alignment wrapText="1"/>
    </xf>
    <xf numFmtId="0" fontId="6" fillId="0" borderId="26" xfId="0" applyFont="1" applyFill="1" applyBorder="1" applyAlignment="1">
      <alignment wrapText="1"/>
    </xf>
    <xf numFmtId="0" fontId="18" fillId="0" borderId="25" xfId="0" applyFont="1" applyFill="1" applyBorder="1" applyAlignment="1">
      <alignment wrapText="1"/>
    </xf>
    <xf numFmtId="0" fontId="6" fillId="0" borderId="30" xfId="0" applyFont="1" applyFill="1" applyBorder="1" applyAlignment="1" applyProtection="1">
      <alignment wrapText="1"/>
      <protection locked="0"/>
    </xf>
    <xf numFmtId="42" fontId="19" fillId="0" borderId="0" xfId="0" applyNumberFormat="1" applyFont="1" applyBorder="1"/>
    <xf numFmtId="0" fontId="5" fillId="0" borderId="34" xfId="0" applyFont="1" applyFill="1" applyBorder="1" applyAlignment="1">
      <alignment wrapText="1"/>
    </xf>
    <xf numFmtId="0" fontId="18" fillId="0" borderId="34" xfId="0" applyFont="1" applyFill="1" applyBorder="1" applyAlignment="1">
      <alignment wrapText="1"/>
    </xf>
    <xf numFmtId="0" fontId="5" fillId="0" borderId="36" xfId="0" applyFont="1" applyFill="1" applyBorder="1" applyAlignment="1">
      <alignment horizontal="center" wrapText="1"/>
    </xf>
    <xf numFmtId="164" fontId="18" fillId="0" borderId="36" xfId="0" applyNumberFormat="1" applyFont="1" applyFill="1" applyBorder="1" applyAlignment="1">
      <alignment horizontal="center"/>
    </xf>
    <xf numFmtId="0" fontId="18" fillId="0" borderId="36" xfId="0" applyFont="1" applyFill="1" applyBorder="1" applyAlignment="1">
      <alignment horizontal="center"/>
    </xf>
    <xf numFmtId="1" fontId="18" fillId="0" borderId="35" xfId="0" applyNumberFormat="1" applyFont="1" applyBorder="1" applyAlignment="1">
      <alignment horizontal="center"/>
    </xf>
    <xf numFmtId="0" fontId="18" fillId="0" borderId="36" xfId="0" applyFont="1" applyFill="1" applyBorder="1" applyAlignment="1">
      <alignment horizontal="center" wrapText="1"/>
    </xf>
    <xf numFmtId="0" fontId="18" fillId="0" borderId="35" xfId="0" applyFont="1" applyFill="1" applyBorder="1" applyAlignment="1">
      <alignment horizontal="center" wrapText="1"/>
    </xf>
    <xf numFmtId="0" fontId="5" fillId="0" borderId="37" xfId="0" applyFont="1" applyFill="1" applyBorder="1" applyAlignment="1" applyProtection="1">
      <alignment horizontal="left" wrapText="1"/>
      <protection locked="0"/>
    </xf>
    <xf numFmtId="0" fontId="13" fillId="0" borderId="21" xfId="0" applyFont="1" applyBorder="1" applyAlignment="1">
      <alignment wrapText="1"/>
    </xf>
    <xf numFmtId="166" fontId="17" fillId="0" borderId="21" xfId="0" applyNumberFormat="1" applyFont="1" applyFill="1" applyBorder="1" applyAlignment="1" applyProtection="1">
      <alignment horizontal="right"/>
      <protection locked="0"/>
    </xf>
    <xf numFmtId="0" fontId="17" fillId="0" borderId="21" xfId="0" applyFont="1" applyFill="1" applyBorder="1" applyAlignment="1" applyProtection="1">
      <alignment horizontal="right"/>
      <protection locked="0"/>
    </xf>
    <xf numFmtId="167" fontId="17" fillId="0" borderId="0" xfId="0" applyNumberFormat="1" applyFont="1" applyBorder="1" applyAlignment="1">
      <alignment horizontal="center"/>
    </xf>
    <xf numFmtId="1" fontId="17" fillId="0" borderId="0" xfId="0" applyNumberFormat="1" applyFont="1" applyBorder="1" applyAlignment="1">
      <alignment horizontal="center"/>
    </xf>
    <xf numFmtId="0" fontId="17" fillId="0" borderId="33" xfId="0" applyFont="1" applyBorder="1" applyAlignment="1">
      <alignment wrapText="1"/>
    </xf>
    <xf numFmtId="0" fontId="17" fillId="0" borderId="20" xfId="0" applyFont="1" applyBorder="1" applyAlignment="1">
      <alignment horizontal="center" wrapText="1"/>
    </xf>
    <xf numFmtId="0" fontId="44" fillId="0" borderId="22" xfId="0" applyFont="1" applyBorder="1" applyAlignment="1">
      <alignment horizontal="center"/>
    </xf>
    <xf numFmtId="164" fontId="17" fillId="0" borderId="1" xfId="0" applyNumberFormat="1" applyFont="1" applyBorder="1" applyAlignment="1">
      <alignment horizontal="right"/>
    </xf>
    <xf numFmtId="164" fontId="17" fillId="0" borderId="1" xfId="2" applyNumberFormat="1" applyFont="1" applyBorder="1" applyAlignment="1" applyProtection="1">
      <alignment horizontal="right"/>
      <protection locked="0"/>
    </xf>
    <xf numFmtId="164" fontId="17" fillId="0" borderId="1" xfId="2" applyNumberFormat="1" applyFont="1" applyFill="1" applyBorder="1" applyAlignment="1" applyProtection="1">
      <alignment horizontal="right"/>
    </xf>
    <xf numFmtId="164" fontId="22" fillId="0" borderId="0" xfId="4" applyNumberFormat="1" applyFont="1" applyBorder="1" applyAlignment="1">
      <alignment horizontal="center"/>
    </xf>
    <xf numFmtId="164" fontId="21" fillId="0" borderId="0" xfId="0" applyNumberFormat="1" applyFont="1" applyBorder="1" applyAlignment="1">
      <alignment horizontal="center"/>
    </xf>
    <xf numFmtId="164" fontId="13" fillId="0" borderId="0" xfId="0" applyNumberFormat="1" applyFont="1" applyAlignment="1">
      <alignment horizontal="center"/>
    </xf>
    <xf numFmtId="164" fontId="13" fillId="0" borderId="0" xfId="0" applyNumberFormat="1" applyFont="1" applyBorder="1" applyAlignment="1">
      <alignment horizontal="center"/>
    </xf>
    <xf numFmtId="164" fontId="17" fillId="0" borderId="1" xfId="2" applyNumberFormat="1" applyFont="1" applyBorder="1" applyAlignment="1">
      <alignment horizontal="right"/>
    </xf>
    <xf numFmtId="164" fontId="33" fillId="5" borderId="1" xfId="2" applyNumberFormat="1" applyFont="1" applyFill="1" applyBorder="1" applyAlignment="1" applyProtection="1">
      <alignment horizontal="right"/>
      <protection locked="0"/>
    </xf>
    <xf numFmtId="164" fontId="6" fillId="0" borderId="1" xfId="2" applyNumberFormat="1" applyFont="1" applyFill="1" applyBorder="1" applyAlignment="1">
      <alignment horizontal="right"/>
    </xf>
    <xf numFmtId="164" fontId="17" fillId="0" borderId="1" xfId="2" applyNumberFormat="1" applyFont="1" applyFill="1" applyBorder="1" applyAlignment="1" applyProtection="1">
      <alignment horizontal="right"/>
      <protection locked="0"/>
    </xf>
    <xf numFmtId="164" fontId="6" fillId="0" borderId="1" xfId="2" applyNumberFormat="1" applyFont="1" applyFill="1" applyBorder="1" applyAlignment="1" applyProtection="1">
      <alignment horizontal="right"/>
      <protection locked="0"/>
    </xf>
    <xf numFmtId="164" fontId="17" fillId="0" borderId="1" xfId="0" applyNumberFormat="1" applyFont="1" applyFill="1" applyBorder="1" applyAlignment="1">
      <alignment horizontal="right"/>
    </xf>
    <xf numFmtId="164" fontId="6" fillId="0" borderId="1" xfId="2" applyNumberFormat="1" applyFont="1" applyBorder="1" applyAlignment="1" applyProtection="1">
      <alignment horizontal="right"/>
      <protection locked="0"/>
    </xf>
    <xf numFmtId="164" fontId="18" fillId="0" borderId="1" xfId="2" applyNumberFormat="1" applyFont="1" applyBorder="1" applyAlignment="1">
      <alignment horizontal="right"/>
    </xf>
    <xf numFmtId="164" fontId="6" fillId="0" borderId="1" xfId="2" applyNumberFormat="1" applyFont="1" applyBorder="1" applyAlignment="1">
      <alignment horizontal="right"/>
    </xf>
    <xf numFmtId="164" fontId="17" fillId="0" borderId="1" xfId="2" applyNumberFormat="1" applyFont="1" applyBorder="1" applyAlignment="1" applyProtection="1">
      <alignment horizontal="right"/>
    </xf>
    <xf numFmtId="164" fontId="6" fillId="0" borderId="1" xfId="2" applyNumberFormat="1" applyFont="1" applyBorder="1" applyAlignment="1" applyProtection="1">
      <alignment horizontal="right"/>
    </xf>
    <xf numFmtId="0" fontId="17" fillId="0" borderId="30" xfId="0" applyFont="1" applyBorder="1" applyAlignment="1">
      <alignment horizontal="right" wrapText="1"/>
    </xf>
    <xf numFmtId="0" fontId="6" fillId="0" borderId="31" xfId="0" applyFont="1" applyBorder="1" applyAlignment="1">
      <alignment horizontal="right"/>
    </xf>
    <xf numFmtId="0" fontId="17" fillId="0" borderId="32" xfId="0" applyFont="1" applyBorder="1" applyAlignment="1">
      <alignment horizontal="right" wrapText="1"/>
    </xf>
    <xf numFmtId="0" fontId="6" fillId="0" borderId="27" xfId="0" applyFont="1" applyFill="1" applyBorder="1" applyAlignment="1">
      <alignment horizontal="right"/>
    </xf>
    <xf numFmtId="0" fontId="6" fillId="0" borderId="30" xfId="0" applyFont="1" applyFill="1" applyBorder="1" applyAlignment="1" applyProtection="1">
      <alignment horizontal="right"/>
      <protection locked="0"/>
    </xf>
    <xf numFmtId="1" fontId="6" fillId="0" borderId="30" xfId="0" applyNumberFormat="1" applyFont="1" applyFill="1" applyBorder="1" applyAlignment="1" applyProtection="1">
      <alignment horizontal="right"/>
      <protection locked="0"/>
    </xf>
    <xf numFmtId="164" fontId="6" fillId="0" borderId="30" xfId="0" applyNumberFormat="1" applyFont="1" applyFill="1" applyBorder="1" applyAlignment="1" applyProtection="1">
      <alignment horizontal="right"/>
      <protection locked="0"/>
    </xf>
    <xf numFmtId="0" fontId="17" fillId="0" borderId="30" xfId="0" applyFont="1" applyFill="1" applyBorder="1" applyAlignment="1">
      <alignment horizontal="right"/>
    </xf>
    <xf numFmtId="164" fontId="17" fillId="0" borderId="30" xfId="0" applyNumberFormat="1" applyFont="1" applyFill="1" applyBorder="1" applyAlignment="1">
      <alignment horizontal="right"/>
    </xf>
    <xf numFmtId="166" fontId="17" fillId="0" borderId="30" xfId="0" applyNumberFormat="1" applyFont="1" applyFill="1" applyBorder="1" applyAlignment="1">
      <alignment horizontal="right"/>
    </xf>
    <xf numFmtId="1" fontId="17" fillId="0" borderId="31" xfId="0" applyNumberFormat="1" applyFont="1" applyFill="1" applyBorder="1" applyAlignment="1">
      <alignment horizontal="right"/>
    </xf>
    <xf numFmtId="0" fontId="6" fillId="0" borderId="32" xfId="0" applyFont="1" applyFill="1" applyBorder="1" applyAlignment="1" applyProtection="1">
      <alignment horizontal="right"/>
      <protection locked="0"/>
    </xf>
    <xf numFmtId="1" fontId="6" fillId="0" borderId="32" xfId="0" applyNumberFormat="1" applyFont="1" applyFill="1" applyBorder="1" applyAlignment="1" applyProtection="1">
      <alignment horizontal="right"/>
      <protection locked="0"/>
    </xf>
    <xf numFmtId="164" fontId="6" fillId="0" borderId="32" xfId="0" applyNumberFormat="1" applyFont="1" applyFill="1" applyBorder="1" applyAlignment="1" applyProtection="1">
      <alignment horizontal="right"/>
      <protection locked="0"/>
    </xf>
    <xf numFmtId="0" fontId="17" fillId="0" borderId="32" xfId="0" applyFont="1" applyFill="1" applyBorder="1" applyAlignment="1">
      <alignment horizontal="right"/>
    </xf>
    <xf numFmtId="164" fontId="17" fillId="0" borderId="32" xfId="0" applyNumberFormat="1" applyFont="1" applyFill="1" applyBorder="1" applyAlignment="1">
      <alignment horizontal="right"/>
    </xf>
    <xf numFmtId="166" fontId="17" fillId="0" borderId="32" xfId="0" applyNumberFormat="1" applyFont="1" applyFill="1" applyBorder="1" applyAlignment="1">
      <alignment horizontal="right"/>
    </xf>
    <xf numFmtId="1" fontId="17" fillId="0" borderId="27" xfId="0" applyNumberFormat="1" applyFont="1" applyFill="1" applyBorder="1" applyAlignment="1">
      <alignment horizontal="right"/>
    </xf>
    <xf numFmtId="166" fontId="17" fillId="0" borderId="30" xfId="0" applyNumberFormat="1" applyFont="1" applyFill="1" applyBorder="1" applyAlignment="1" applyProtection="1">
      <alignment horizontal="right"/>
      <protection locked="0"/>
    </xf>
    <xf numFmtId="0" fontId="17" fillId="0" borderId="30" xfId="0" applyFont="1" applyFill="1" applyBorder="1" applyAlignment="1" applyProtection="1">
      <alignment horizontal="right"/>
      <protection locked="0"/>
    </xf>
    <xf numFmtId="166" fontId="17" fillId="0" borderId="31" xfId="0" applyNumberFormat="1" applyFont="1" applyBorder="1" applyAlignment="1" applyProtection="1">
      <alignment horizontal="right"/>
      <protection locked="0"/>
    </xf>
    <xf numFmtId="166" fontId="18" fillId="0" borderId="38" xfId="0" applyNumberFormat="1" applyFont="1" applyBorder="1" applyAlignment="1" applyProtection="1">
      <alignment horizontal="right"/>
      <protection locked="0"/>
    </xf>
    <xf numFmtId="6" fontId="17" fillId="0" borderId="1" xfId="0" applyNumberFormat="1" applyFont="1" applyBorder="1" applyAlignment="1">
      <alignment horizontal="right"/>
    </xf>
    <xf numFmtId="1" fontId="17" fillId="0" borderId="1" xfId="0" applyNumberFormat="1" applyFont="1" applyBorder="1" applyAlignment="1">
      <alignment horizontal="right"/>
    </xf>
    <xf numFmtId="164" fontId="25" fillId="4" borderId="1" xfId="0" applyNumberFormat="1" applyFont="1" applyFill="1" applyBorder="1" applyAlignment="1" applyProtection="1">
      <alignment horizontal="right"/>
      <protection locked="0"/>
    </xf>
    <xf numFmtId="0" fontId="18" fillId="0" borderId="34" xfId="0" applyFont="1" applyFill="1" applyBorder="1" applyAlignment="1">
      <alignment horizontal="center" wrapText="1"/>
    </xf>
    <xf numFmtId="44" fontId="18" fillId="0" borderId="36" xfId="2" applyFont="1" applyFill="1" applyBorder="1" applyAlignment="1">
      <alignment horizontal="center"/>
    </xf>
    <xf numFmtId="0" fontId="17" fillId="0" borderId="10" xfId="0" applyFont="1" applyBorder="1" applyAlignment="1">
      <alignment vertical="top" wrapText="1"/>
    </xf>
    <xf numFmtId="6" fontId="17" fillId="0" borderId="12" xfId="0" applyNumberFormat="1" applyFont="1" applyBorder="1" applyAlignment="1">
      <alignment horizontal="right"/>
    </xf>
    <xf numFmtId="0" fontId="6" fillId="0" borderId="10" xfId="0" applyFont="1" applyFill="1" applyBorder="1" applyAlignment="1">
      <alignment vertical="top" wrapText="1"/>
    </xf>
    <xf numFmtId="0" fontId="5" fillId="0" borderId="40" xfId="3" applyFont="1" applyBorder="1" applyAlignment="1" applyProtection="1">
      <alignment horizontal="center" wrapText="1"/>
    </xf>
    <xf numFmtId="0" fontId="18" fillId="0" borderId="39" xfId="0" applyFont="1" applyBorder="1" applyAlignment="1">
      <alignment wrapText="1"/>
    </xf>
    <xf numFmtId="6" fontId="18" fillId="0" borderId="39" xfId="0" applyNumberFormat="1" applyFont="1" applyBorder="1" applyAlignment="1">
      <alignment horizontal="right"/>
    </xf>
    <xf numFmtId="6" fontId="18" fillId="0" borderId="41" xfId="0" applyNumberFormat="1" applyFont="1" applyBorder="1" applyAlignment="1">
      <alignment horizontal="right"/>
    </xf>
    <xf numFmtId="9" fontId="17" fillId="0" borderId="7" xfId="4" applyFont="1" applyFill="1" applyBorder="1" applyAlignment="1" applyProtection="1">
      <alignment horizontal="right"/>
    </xf>
    <xf numFmtId="44" fontId="17" fillId="0" borderId="7" xfId="2" applyFont="1" applyFill="1" applyBorder="1" applyAlignment="1" applyProtection="1">
      <alignment horizontal="right"/>
    </xf>
    <xf numFmtId="10" fontId="17" fillId="0" borderId="7" xfId="4" applyNumberFormat="1" applyFont="1" applyFill="1" applyBorder="1" applyAlignment="1" applyProtection="1">
      <alignment horizontal="right"/>
    </xf>
    <xf numFmtId="1" fontId="17" fillId="0" borderId="7" xfId="4" applyNumberFormat="1" applyFont="1" applyFill="1" applyBorder="1" applyAlignment="1" applyProtection="1">
      <alignment horizontal="right"/>
    </xf>
    <xf numFmtId="8" fontId="17" fillId="0" borderId="7" xfId="0" applyNumberFormat="1" applyFont="1" applyFill="1" applyBorder="1" applyAlignment="1" applyProtection="1">
      <alignment horizontal="right"/>
    </xf>
    <xf numFmtId="164" fontId="17" fillId="0" borderId="7" xfId="2" applyNumberFormat="1" applyFont="1" applyFill="1" applyBorder="1" applyAlignment="1">
      <alignment horizontal="right" wrapText="1"/>
    </xf>
    <xf numFmtId="172" fontId="22" fillId="3" borderId="8" xfId="0" applyNumberFormat="1" applyFont="1" applyFill="1" applyBorder="1"/>
    <xf numFmtId="0" fontId="39" fillId="0" borderId="0" xfId="0" applyFont="1" applyBorder="1" applyAlignment="1">
      <alignment horizontal="center"/>
    </xf>
    <xf numFmtId="0" fontId="18" fillId="0" borderId="28" xfId="0" applyFont="1" applyBorder="1"/>
    <xf numFmtId="0" fontId="17" fillId="0" borderId="28" xfId="0" applyFont="1" applyBorder="1" applyAlignment="1">
      <alignment horizontal="right"/>
    </xf>
    <xf numFmtId="0" fontId="17" fillId="0" borderId="28" xfId="0" applyFont="1" applyBorder="1"/>
    <xf numFmtId="164" fontId="17" fillId="0" borderId="28" xfId="0" applyNumberFormat="1" applyFont="1" applyBorder="1" applyAlignment="1">
      <alignment horizontal="center"/>
    </xf>
    <xf numFmtId="0" fontId="5" fillId="0" borderId="42" xfId="0" applyFont="1" applyFill="1" applyBorder="1" applyAlignment="1">
      <alignment horizontal="center" wrapText="1"/>
    </xf>
    <xf numFmtId="164" fontId="5" fillId="0" borderId="42" xfId="0" applyNumberFormat="1" applyFont="1" applyFill="1" applyBorder="1" applyAlignment="1">
      <alignment horizontal="center" wrapText="1"/>
    </xf>
    <xf numFmtId="0" fontId="5" fillId="0" borderId="42" xfId="0" applyFont="1" applyBorder="1" applyAlignment="1">
      <alignment horizontal="center" wrapText="1"/>
    </xf>
    <xf numFmtId="9" fontId="25" fillId="4" borderId="1" xfId="4" applyFont="1" applyFill="1" applyBorder="1" applyAlignment="1" applyProtection="1">
      <alignment horizontal="right"/>
      <protection locked="0"/>
    </xf>
    <xf numFmtId="9" fontId="25" fillId="9" borderId="1" xfId="0" applyNumberFormat="1" applyFont="1" applyFill="1" applyBorder="1" applyAlignment="1" applyProtection="1">
      <alignment horizontal="right"/>
      <protection locked="0"/>
    </xf>
    <xf numFmtId="3" fontId="18" fillId="0" borderId="1" xfId="0" applyNumberFormat="1" applyFont="1" applyBorder="1" applyAlignment="1">
      <alignment horizontal="right"/>
    </xf>
    <xf numFmtId="37" fontId="24" fillId="0" borderId="1" xfId="0" applyNumberFormat="1" applyFont="1" applyFill="1" applyBorder="1" applyAlignment="1">
      <alignment horizontal="right"/>
    </xf>
    <xf numFmtId="3" fontId="31" fillId="7" borderId="1" xfId="0" applyNumberFormat="1" applyFont="1" applyFill="1" applyBorder="1" applyAlignment="1" applyProtection="1">
      <alignment horizontal="right"/>
      <protection locked="0"/>
    </xf>
    <xf numFmtId="165" fontId="6" fillId="0" borderId="30" xfId="1" applyNumberFormat="1" applyFont="1" applyFill="1" applyBorder="1" applyAlignment="1">
      <alignment horizontal="right"/>
    </xf>
    <xf numFmtId="165" fontId="17" fillId="0" borderId="30" xfId="1" applyNumberFormat="1" applyFont="1" applyFill="1" applyBorder="1" applyAlignment="1">
      <alignment horizontal="right"/>
    </xf>
    <xf numFmtId="165" fontId="6" fillId="0" borderId="32" xfId="1" applyNumberFormat="1" applyFont="1" applyFill="1" applyBorder="1" applyAlignment="1">
      <alignment horizontal="right"/>
    </xf>
    <xf numFmtId="165" fontId="17" fillId="0" borderId="32" xfId="1" applyNumberFormat="1" applyFont="1" applyFill="1" applyBorder="1" applyAlignment="1">
      <alignment horizontal="right"/>
    </xf>
    <xf numFmtId="164" fontId="30" fillId="0" borderId="0" xfId="0" applyNumberFormat="1" applyFont="1" applyBorder="1"/>
    <xf numFmtId="8" fontId="17" fillId="0" borderId="8" xfId="0" applyNumberFormat="1" applyFont="1" applyFill="1" applyBorder="1" applyAlignment="1" applyProtection="1">
      <alignment horizontal="right"/>
    </xf>
    <xf numFmtId="164" fontId="22" fillId="0" borderId="1" xfId="2" applyNumberFormat="1" applyFont="1" applyBorder="1" applyAlignment="1">
      <alignment horizontal="right"/>
    </xf>
    <xf numFmtId="0" fontId="18" fillId="0" borderId="3" xfId="0" applyFont="1" applyFill="1" applyBorder="1" applyAlignment="1">
      <alignment wrapText="1"/>
    </xf>
    <xf numFmtId="44" fontId="18" fillId="0" borderId="43" xfId="2" applyFont="1" applyFill="1" applyBorder="1" applyAlignment="1">
      <alignment horizontal="center" wrapText="1"/>
    </xf>
    <xf numFmtId="0" fontId="18" fillId="0" borderId="43" xfId="0" applyFont="1" applyFill="1" applyBorder="1" applyAlignment="1">
      <alignment horizontal="center" wrapText="1"/>
    </xf>
    <xf numFmtId="0" fontId="18" fillId="0" borderId="13" xfId="0" applyFont="1" applyFill="1" applyBorder="1" applyAlignment="1">
      <alignment horizontal="center" wrapText="1"/>
    </xf>
    <xf numFmtId="0" fontId="18" fillId="0" borderId="1" xfId="0" applyFont="1" applyBorder="1" applyAlignment="1">
      <alignment horizontal="left"/>
    </xf>
    <xf numFmtId="6" fontId="21" fillId="0" borderId="1" xfId="4" applyNumberFormat="1" applyFont="1" applyBorder="1" applyAlignment="1">
      <alignment horizontal="right"/>
    </xf>
    <xf numFmtId="165" fontId="32" fillId="10" borderId="1" xfId="1" applyNumberFormat="1" applyFont="1" applyFill="1" applyBorder="1" applyAlignment="1" applyProtection="1">
      <alignment horizontal="right"/>
      <protection locked="0"/>
    </xf>
    <xf numFmtId="1" fontId="32" fillId="10" borderId="1" xfId="0" applyNumberFormat="1" applyFont="1" applyFill="1" applyBorder="1" applyAlignment="1" applyProtection="1">
      <alignment horizontal="right"/>
      <protection locked="0"/>
    </xf>
    <xf numFmtId="164" fontId="25" fillId="10" borderId="1" xfId="2" applyNumberFormat="1" applyFont="1" applyFill="1" applyBorder="1" applyAlignment="1" applyProtection="1">
      <alignment horizontal="right"/>
      <protection locked="0"/>
    </xf>
    <xf numFmtId="0" fontId="48" fillId="10" borderId="1" xfId="0" applyFont="1" applyFill="1" applyBorder="1" applyAlignment="1" applyProtection="1">
      <alignment horizontal="right"/>
      <protection locked="0"/>
    </xf>
    <xf numFmtId="0" fontId="25" fillId="10" borderId="1" xfId="0" applyFont="1" applyFill="1" applyBorder="1" applyAlignment="1" applyProtection="1">
      <alignment horizontal="right"/>
      <protection locked="0"/>
    </xf>
    <xf numFmtId="164" fontId="25" fillId="10" borderId="1" xfId="0" applyNumberFormat="1" applyFont="1" applyFill="1" applyBorder="1" applyAlignment="1" applyProtection="1">
      <alignment horizontal="right"/>
      <protection locked="0"/>
    </xf>
    <xf numFmtId="3" fontId="25" fillId="10" borderId="1" xfId="0" applyNumberFormat="1" applyFont="1" applyFill="1" applyBorder="1" applyAlignment="1" applyProtection="1">
      <alignment horizontal="right" wrapText="1"/>
      <protection locked="0"/>
    </xf>
    <xf numFmtId="9" fontId="25" fillId="11" borderId="1" xfId="4" applyFont="1" applyFill="1" applyBorder="1" applyAlignment="1" applyProtection="1">
      <alignment horizontal="right"/>
      <protection locked="0"/>
    </xf>
    <xf numFmtId="9" fontId="22" fillId="0" borderId="1" xfId="4" applyNumberFormat="1" applyFont="1" applyFill="1" applyBorder="1" applyAlignment="1">
      <alignment horizontal="center"/>
    </xf>
    <xf numFmtId="0" fontId="6" fillId="0" borderId="1" xfId="0" applyFont="1" applyFill="1" applyBorder="1" applyAlignment="1">
      <alignment horizontal="right"/>
    </xf>
    <xf numFmtId="0" fontId="17" fillId="0" borderId="1" xfId="0" applyFont="1" applyFill="1" applyBorder="1"/>
    <xf numFmtId="0" fontId="5" fillId="0" borderId="28" xfId="0" applyFont="1" applyFill="1" applyBorder="1" applyAlignment="1">
      <alignment horizontal="center"/>
    </xf>
    <xf numFmtId="0" fontId="6" fillId="0" borderId="30" xfId="0" applyFont="1" applyFill="1" applyBorder="1" applyAlignment="1">
      <alignment horizontal="right"/>
    </xf>
    <xf numFmtId="0" fontId="6" fillId="0" borderId="32" xfId="0" applyFont="1" applyFill="1" applyBorder="1" applyAlignment="1">
      <alignment horizontal="right"/>
    </xf>
    <xf numFmtId="0" fontId="18" fillId="0" borderId="35" xfId="0" applyFont="1" applyFill="1" applyBorder="1" applyAlignment="1">
      <alignment horizontal="center"/>
    </xf>
    <xf numFmtId="164" fontId="6" fillId="0" borderId="27" xfId="0" applyNumberFormat="1" applyFont="1" applyFill="1" applyBorder="1" applyAlignment="1" applyProtection="1">
      <alignment horizontal="right" wrapText="1"/>
      <protection locked="0"/>
    </xf>
    <xf numFmtId="0" fontId="18" fillId="0" borderId="2" xfId="0" applyFont="1" applyFill="1" applyBorder="1" applyAlignment="1">
      <alignment wrapText="1"/>
    </xf>
    <xf numFmtId="0" fontId="17" fillId="0" borderId="9" xfId="0" applyFont="1" applyFill="1" applyBorder="1" applyAlignment="1">
      <alignment wrapText="1"/>
    </xf>
    <xf numFmtId="6" fontId="51" fillId="0" borderId="1" xfId="2" applyNumberFormat="1" applyFont="1" applyBorder="1" applyProtection="1"/>
    <xf numFmtId="6" fontId="52" fillId="0" borderId="1" xfId="4" applyNumberFormat="1" applyFont="1" applyBorder="1" applyAlignment="1">
      <alignment horizontal="right"/>
    </xf>
    <xf numFmtId="6" fontId="52" fillId="0" borderId="1" xfId="4" applyNumberFormat="1" applyFont="1" applyFill="1" applyBorder="1" applyAlignment="1">
      <alignment horizontal="right"/>
    </xf>
    <xf numFmtId="0" fontId="9" fillId="0" borderId="0" xfId="0" applyFont="1" applyAlignment="1">
      <alignment horizontal="center" vertical="top" wrapText="1"/>
    </xf>
    <xf numFmtId="0" fontId="2" fillId="8" borderId="0" xfId="3" applyFill="1" applyAlignment="1" applyProtection="1">
      <alignment horizontal="center" vertical="center"/>
    </xf>
    <xf numFmtId="0" fontId="9" fillId="0" borderId="0" xfId="0" applyFont="1" applyAlignment="1">
      <alignment horizontal="left"/>
    </xf>
    <xf numFmtId="0" fontId="20" fillId="6" borderId="0" xfId="0" applyNumberFormat="1" applyFont="1" applyFill="1" applyAlignment="1">
      <alignment horizontal="center"/>
    </xf>
    <xf numFmtId="0" fontId="49" fillId="6" borderId="0" xfId="0" applyNumberFormat="1" applyFont="1" applyFill="1" applyAlignment="1"/>
    <xf numFmtId="0" fontId="49" fillId="0" borderId="0" xfId="0" applyNumberFormat="1" applyFont="1" applyAlignment="1"/>
    <xf numFmtId="0" fontId="34" fillId="6" borderId="0" xfId="0" applyFont="1" applyFill="1" applyAlignment="1">
      <alignment horizontal="center"/>
    </xf>
    <xf numFmtId="0" fontId="0" fillId="6" borderId="0" xfId="0" applyFill="1" applyAlignment="1"/>
    <xf numFmtId="0" fontId="0" fillId="0" borderId="0" xfId="0" applyAlignment="1"/>
    <xf numFmtId="0" fontId="17" fillId="6" borderId="0" xfId="0" applyFont="1" applyFill="1" applyAlignment="1">
      <alignment horizontal="center"/>
    </xf>
    <xf numFmtId="0" fontId="2" fillId="0" borderId="0" xfId="3" applyFill="1" applyAlignment="1" applyProtection="1">
      <alignment horizontal="center" vertical="center"/>
    </xf>
    <xf numFmtId="44" fontId="27" fillId="0" borderId="14" xfId="2" applyFont="1" applyBorder="1" applyAlignment="1">
      <alignment horizontal="center"/>
    </xf>
    <xf numFmtId="0" fontId="46" fillId="2" borderId="15" xfId="0" applyFont="1" applyFill="1" applyBorder="1" applyAlignment="1">
      <alignment horizontal="center"/>
    </xf>
    <xf numFmtId="0" fontId="42" fillId="2" borderId="16" xfId="0" applyFont="1" applyFill="1" applyBorder="1" applyAlignment="1">
      <alignment horizontal="center"/>
    </xf>
    <xf numFmtId="0" fontId="42" fillId="2" borderId="17" xfId="0" applyFont="1" applyFill="1" applyBorder="1" applyAlignment="1">
      <alignment horizontal="center"/>
    </xf>
    <xf numFmtId="0" fontId="43" fillId="0" borderId="18" xfId="0" applyFont="1" applyFill="1" applyBorder="1" applyAlignment="1">
      <alignment horizontal="left" wrapText="1"/>
    </xf>
    <xf numFmtId="0" fontId="6" fillId="0" borderId="18" xfId="0" applyFont="1" applyFill="1" applyBorder="1" applyAlignment="1">
      <alignment horizontal="left" wrapText="1"/>
    </xf>
    <xf numFmtId="0" fontId="6" fillId="0" borderId="0" xfId="0" applyFont="1" applyFill="1" applyBorder="1" applyAlignment="1">
      <alignment horizontal="left" wrapText="1"/>
    </xf>
    <xf numFmtId="0" fontId="27" fillId="0" borderId="0" xfId="0" applyFont="1" applyBorder="1" applyAlignment="1">
      <alignment horizontal="center"/>
    </xf>
    <xf numFmtId="0" fontId="34" fillId="0" borderId="0" xfId="0" applyFont="1" applyBorder="1" applyAlignment="1">
      <alignment horizontal="center"/>
    </xf>
    <xf numFmtId="0" fontId="31" fillId="2" borderId="0" xfId="0" applyFont="1" applyFill="1" applyBorder="1" applyAlignment="1">
      <alignment horizontal="center"/>
    </xf>
    <xf numFmtId="0" fontId="35" fillId="2" borderId="0" xfId="0" applyFont="1" applyFill="1" applyBorder="1" applyAlignment="1">
      <alignment horizontal="center"/>
    </xf>
    <xf numFmtId="0" fontId="31" fillId="2" borderId="0" xfId="0" applyFont="1" applyFill="1" applyBorder="1" applyAlignment="1"/>
    <xf numFmtId="2" fontId="7" fillId="0" borderId="0" xfId="0" applyNumberFormat="1" applyFont="1" applyFill="1" applyAlignment="1" applyProtection="1">
      <alignment horizontal="center"/>
      <protection locked="0"/>
    </xf>
    <xf numFmtId="0" fontId="21" fillId="0" borderId="0" xfId="0" applyFont="1" applyAlignment="1">
      <alignment horizontal="center"/>
    </xf>
    <xf numFmtId="0" fontId="23" fillId="0" borderId="0" xfId="0" applyFont="1" applyFill="1" applyBorder="1" applyAlignment="1" applyProtection="1">
      <alignment horizontal="left" wrapText="1"/>
    </xf>
    <xf numFmtId="0" fontId="0" fillId="0" borderId="0" xfId="0" applyFill="1" applyAlignment="1" applyProtection="1">
      <alignment horizontal="left" wrapText="1"/>
    </xf>
    <xf numFmtId="0" fontId="32" fillId="2" borderId="0" xfId="0" applyFont="1" applyFill="1" applyBorder="1" applyAlignment="1">
      <alignment horizontal="right"/>
    </xf>
    <xf numFmtId="0" fontId="12" fillId="0" borderId="0" xfId="0" applyFont="1" applyAlignment="1">
      <alignment horizontal="right"/>
    </xf>
    <xf numFmtId="0" fontId="18" fillId="0" borderId="0" xfId="0" applyFont="1" applyBorder="1" applyAlignment="1">
      <alignment horizontal="right"/>
    </xf>
    <xf numFmtId="0" fontId="18" fillId="0" borderId="19" xfId="0" applyFont="1" applyBorder="1" applyAlignment="1">
      <alignment horizontal="right"/>
    </xf>
    <xf numFmtId="0" fontId="27" fillId="0" borderId="0" xfId="0" applyFont="1" applyAlignment="1">
      <alignment horizontal="center"/>
    </xf>
    <xf numFmtId="0" fontId="17" fillId="0" borderId="0" xfId="0" applyFont="1" applyAlignment="1">
      <alignment horizontal="right"/>
    </xf>
    <xf numFmtId="0" fontId="17" fillId="0" borderId="19" xfId="0" applyFont="1" applyBorder="1" applyAlignment="1">
      <alignment horizontal="right"/>
    </xf>
    <xf numFmtId="0" fontId="17" fillId="0" borderId="0" xfId="0" applyFont="1" applyBorder="1" applyAlignment="1">
      <alignment horizontal="right"/>
    </xf>
    <xf numFmtId="0" fontId="17" fillId="0" borderId="14" xfId="0" applyFont="1" applyBorder="1" applyAlignment="1">
      <alignment horizontal="center"/>
    </xf>
    <xf numFmtId="0" fontId="1" fillId="0" borderId="14" xfId="0" applyFont="1" applyBorder="1" applyAlignment="1">
      <alignment horizontal="center"/>
    </xf>
    <xf numFmtId="0" fontId="18" fillId="0" borderId="39" xfId="0" applyFont="1" applyBorder="1" applyAlignment="1">
      <alignment horizontal="right"/>
    </xf>
    <xf numFmtId="0" fontId="18" fillId="0" borderId="3" xfId="0" applyFont="1" applyFill="1" applyBorder="1" applyAlignment="1">
      <alignment horizontal="center"/>
    </xf>
    <xf numFmtId="0" fontId="18" fillId="0" borderId="23" xfId="0" applyFont="1" applyBorder="1" applyAlignment="1">
      <alignment horizontal="center" vertical="top" wrapText="1"/>
    </xf>
    <xf numFmtId="0" fontId="18" fillId="0" borderId="24" xfId="0" applyFont="1" applyBorder="1" applyAlignment="1">
      <alignment horizontal="center" vertical="top" wrapText="1"/>
    </xf>
    <xf numFmtId="0" fontId="10" fillId="0" borderId="0" xfId="0" applyFont="1" applyBorder="1" applyAlignment="1">
      <alignment horizontal="left" vertical="center" wrapText="1"/>
    </xf>
    <xf numFmtId="0" fontId="10" fillId="0" borderId="7" xfId="0" applyFont="1" applyBorder="1" applyAlignment="1">
      <alignment horizontal="left" vertical="center" wrapText="1"/>
    </xf>
  </cellXfs>
  <cellStyles count="30">
    <cellStyle name="Comma" xfId="1" builtinId="3"/>
    <cellStyle name="Currency" xfId="2" builtinId="4"/>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Hyperlink" xfId="3" builtinId="8"/>
    <cellStyle name="Normal" xfId="0" builtinId="0"/>
    <cellStyle name="Percent" xfId="4" builtinId="5"/>
  </cellStyles>
  <dxfs count="0"/>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FF"/>
    </mru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3</xdr:row>
      <xdr:rowOff>189652</xdr:rowOff>
    </xdr:from>
    <xdr:ext cx="6573520" cy="3346028"/>
    <xdr:sp macro="" textlink="">
      <xdr:nvSpPr>
        <xdr:cNvPr id="2" name="TextBox 1"/>
        <xdr:cNvSpPr txBox="1"/>
      </xdr:nvSpPr>
      <xdr:spPr>
        <a:xfrm>
          <a:off x="0" y="819572"/>
          <a:ext cx="6573520" cy="3346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lnSpc>
              <a:spcPts val="1300"/>
            </a:lnSpc>
          </a:pPr>
          <a:r>
            <a:rPr lang="en-US" sz="1600" b="1">
              <a:latin typeface="Arial" pitchFamily="34" charset="0"/>
              <a:cs typeface="Arial" pitchFamily="34" charset="0"/>
            </a:rPr>
            <a:t>Introduction</a:t>
          </a:r>
        </a:p>
        <a:p>
          <a:pPr algn="ctr">
            <a:lnSpc>
              <a:spcPts val="1300"/>
            </a:lnSpc>
          </a:pPr>
          <a:endParaRPr lang="en-US" sz="1100" b="1">
            <a:latin typeface="Arial" pitchFamily="34" charset="0"/>
            <a:cs typeface="Arial" pitchFamily="34" charset="0"/>
          </a:endParaRPr>
        </a:p>
        <a:p>
          <a:pPr algn="l">
            <a:lnSpc>
              <a:spcPts val="1200"/>
            </a:lnSpc>
          </a:pPr>
          <a:r>
            <a:rPr lang="en-US" sz="1100">
              <a:latin typeface="Arial"/>
              <a:cs typeface="Arial"/>
            </a:rPr>
            <a:t>T</a:t>
          </a:r>
          <a:r>
            <a:rPr lang="en-US" sz="1200">
              <a:latin typeface="Arial"/>
              <a:cs typeface="Arial"/>
            </a:rPr>
            <a:t>his medium-scale cultchless oyster enterprise budget is</a:t>
          </a:r>
          <a:r>
            <a:rPr lang="en-US" sz="1200" baseline="0">
              <a:latin typeface="Arial"/>
              <a:cs typeface="Arial"/>
            </a:rPr>
            <a:t> intended to</a:t>
          </a:r>
          <a:r>
            <a:rPr lang="en-US" sz="1200">
              <a:latin typeface="Arial"/>
              <a:cs typeface="Arial"/>
            </a:rPr>
            <a:t> characterize a typical operation; the numbers are based on industry surveys and interviews. However, each oyster farm is different</a:t>
          </a:r>
          <a:r>
            <a:rPr lang="en-US" sz="1200" baseline="0">
              <a:latin typeface="Arial"/>
              <a:cs typeface="Arial"/>
            </a:rPr>
            <a:t> and n</a:t>
          </a:r>
          <a:r>
            <a:rPr lang="en-US" sz="1200">
              <a:latin typeface="Arial"/>
              <a:cs typeface="Arial"/>
            </a:rPr>
            <a:t>umbers need to be modified to account for those differences. Capital structure, production practices, location, etc., vary and affect costs and returns. In particular, labor estimates should be carefully considered so these costs reflect your operation. Labor is the costliest budget item and, therefore, it affects profit more than other categories.  </a:t>
          </a:r>
        </a:p>
        <a:p>
          <a:pPr algn="l">
            <a:lnSpc>
              <a:spcPts val="1200"/>
            </a:lnSpc>
          </a:pPr>
          <a:endParaRPr lang="en-US" sz="1200">
            <a:latin typeface="Arial"/>
            <a:cs typeface="Arial"/>
          </a:endParaRPr>
        </a:p>
        <a:p>
          <a:pPr algn="l">
            <a:lnSpc>
              <a:spcPts val="1200"/>
            </a:lnSpc>
          </a:pPr>
          <a:r>
            <a:rPr lang="en-US" sz="1200" b="1" i="0" u="none" strike="noStrike">
              <a:solidFill>
                <a:schemeClr val="tx1"/>
              </a:solidFill>
              <a:effectLst/>
              <a:latin typeface="Arial"/>
              <a:ea typeface="+mn-ea"/>
              <a:cs typeface="Arial"/>
            </a:rPr>
            <a:t>An important note of caution</a:t>
          </a:r>
          <a:r>
            <a:rPr lang="en-US" sz="1200" b="0" i="0" u="none" strike="noStrike">
              <a:solidFill>
                <a:schemeClr val="tx1"/>
              </a:solidFill>
              <a:effectLst/>
              <a:latin typeface="Arial"/>
              <a:ea typeface="+mn-ea"/>
              <a:cs typeface="Arial"/>
            </a:rPr>
            <a:t>: This budget stops "at the farm gate” and does not include marketing costs.</a:t>
          </a:r>
          <a:r>
            <a:rPr lang="en-US" sz="1200" b="0" i="0" u="none" strike="noStrike" baseline="0">
              <a:solidFill>
                <a:schemeClr val="tx1"/>
              </a:solidFill>
              <a:effectLst/>
              <a:latin typeface="Arial"/>
              <a:ea typeface="+mn-ea"/>
              <a:cs typeface="Arial"/>
            </a:rPr>
            <a:t> It </a:t>
          </a:r>
          <a:r>
            <a:rPr lang="en-US" sz="1200" b="0" i="0" u="none" strike="noStrike">
              <a:solidFill>
                <a:schemeClr val="tx1"/>
              </a:solidFill>
              <a:effectLst/>
              <a:latin typeface="Arial"/>
              <a:ea typeface="+mn-ea"/>
              <a:cs typeface="Arial"/>
            </a:rPr>
            <a:t>assumes that a wholesale distributor does the marketing. Thus, costs such as additional refrigerated transportation, shipping costs, and packaging materials are not considered.  </a:t>
          </a:r>
          <a:r>
            <a:rPr lang="en-US" sz="1200" i="0">
              <a:effectLst/>
              <a:latin typeface="Arial"/>
              <a:cs typeface="Arial"/>
            </a:rPr>
            <a:t> </a:t>
          </a:r>
          <a:endParaRPr lang="en-US" sz="1200" i="0">
            <a:latin typeface="Arial"/>
            <a:cs typeface="Arial"/>
          </a:endParaRPr>
        </a:p>
        <a:p>
          <a:pPr algn="l">
            <a:lnSpc>
              <a:spcPts val="1200"/>
            </a:lnSpc>
          </a:pPr>
          <a:endParaRPr lang="en-US" sz="1200">
            <a:latin typeface="Arial"/>
            <a:cs typeface="Arial"/>
          </a:endParaRPr>
        </a:p>
        <a:p>
          <a:pPr algn="l">
            <a:lnSpc>
              <a:spcPts val="1100"/>
            </a:lnSpc>
          </a:pPr>
          <a:r>
            <a:rPr lang="en-US" sz="1200" b="0">
              <a:latin typeface="Arial"/>
              <a:cs typeface="Arial"/>
            </a:rPr>
            <a:t>For a complete guide</a:t>
          </a:r>
          <a:r>
            <a:rPr lang="en-US" sz="1200" b="0" baseline="0">
              <a:latin typeface="Arial"/>
              <a:cs typeface="Arial"/>
            </a:rPr>
            <a:t> to understanding this budget spreadsheet, refer to Virginia Cooperative Extension publication AAEC-40P, "Cultchless (Single-Seed) Oyster Crop Budgets for Virginia: 2013 User Manual," that accompanies these worksheets.</a:t>
          </a:r>
          <a:endParaRPr lang="en-US" sz="1200" b="0">
            <a:latin typeface="Arial"/>
            <a:cs typeface="Arial"/>
          </a:endParaRPr>
        </a:p>
      </xdr:txBody>
    </xdr:sp>
    <xdr:clientData/>
  </xdr:oneCellAnchor>
  <xdr:oneCellAnchor>
    <xdr:from>
      <xdr:col>9</xdr:col>
      <xdr:colOff>33866</xdr:colOff>
      <xdr:row>27</xdr:row>
      <xdr:rowOff>126999</xdr:rowOff>
    </xdr:from>
    <xdr:ext cx="5918201" cy="2208297"/>
    <xdr:sp macro="" textlink="">
      <xdr:nvSpPr>
        <xdr:cNvPr id="4" name="TextBox 3"/>
        <xdr:cNvSpPr txBox="1"/>
      </xdr:nvSpPr>
      <xdr:spPr>
        <a:xfrm>
          <a:off x="6068906" y="5156199"/>
          <a:ext cx="5918201" cy="2208297"/>
        </a:xfrm>
        <a:prstGeom prst="rect">
          <a:avLst/>
        </a:prstGeom>
        <a:solidFill>
          <a:schemeClr val="bg1"/>
        </a:solidFill>
        <a:ln w="12700">
          <a:solidFill>
            <a:schemeClr val="accent1"/>
          </a:solidFill>
          <a:prstDash val="solid"/>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US" sz="1100" b="1" baseline="0">
              <a:latin typeface="Arial" pitchFamily="34" charset="0"/>
              <a:cs typeface="Arial" pitchFamily="34" charset="0"/>
            </a:rPr>
            <a:t>For questions, contact:</a:t>
          </a:r>
        </a:p>
        <a:p>
          <a:pPr algn="l"/>
          <a:endParaRPr lang="en-US" sz="1100">
            <a:latin typeface="Arial" pitchFamily="34" charset="0"/>
            <a:cs typeface="Arial" pitchFamily="34" charset="0"/>
          </a:endParaRPr>
        </a:p>
        <a:p>
          <a:pPr algn="l"/>
          <a:r>
            <a:rPr lang="en-US" sz="1050">
              <a:latin typeface="Arial" pitchFamily="34" charset="0"/>
              <a:cs typeface="Arial" pitchFamily="34" charset="0"/>
            </a:rPr>
            <a:t>• Karen Hudson, </a:t>
          </a:r>
          <a:r>
            <a:rPr lang="en-US" sz="1050" baseline="0">
              <a:latin typeface="Arial" pitchFamily="34" charset="0"/>
              <a:cs typeface="Arial" pitchFamily="34" charset="0"/>
            </a:rPr>
            <a:t>Commercial Shellfish Aquaculture Extension Specialist, </a:t>
          </a:r>
          <a:r>
            <a:rPr lang="en-US" sz="1050" u="none" baseline="0">
              <a:solidFill>
                <a:schemeClr val="tx1"/>
              </a:solidFill>
              <a:latin typeface="Arial" pitchFamily="34" charset="0"/>
              <a:cs typeface="Arial" pitchFamily="34" charset="0"/>
            </a:rPr>
            <a:t>Virginia Institute of Marine Science; </a:t>
          </a:r>
          <a:r>
            <a:rPr lang="en-US" sz="1050" baseline="0">
              <a:solidFill>
                <a:schemeClr val="tx1"/>
              </a:solidFill>
              <a:latin typeface="Arial" pitchFamily="34" charset="0"/>
              <a:cs typeface="Arial" pitchFamily="34" charset="0"/>
            </a:rPr>
            <a:t>khudson@vims.edu; 804-684-7742.</a:t>
          </a:r>
        </a:p>
        <a:p>
          <a:pPr algn="l"/>
          <a:endParaRPr lang="en-US" sz="1050" baseline="0">
            <a:solidFill>
              <a:schemeClr val="tx1"/>
            </a:solidFill>
            <a:latin typeface="Arial" pitchFamily="34" charset="0"/>
            <a:cs typeface="Arial" pitchFamily="34" charset="0"/>
          </a:endParaRPr>
        </a:p>
        <a:p>
          <a:pPr algn="l"/>
          <a:r>
            <a:rPr lang="en-US" sz="1050" baseline="0">
              <a:solidFill>
                <a:schemeClr val="tx1"/>
              </a:solidFill>
              <a:latin typeface="Arial" pitchFamily="34" charset="0"/>
              <a:cs typeface="Arial" pitchFamily="34" charset="0"/>
            </a:rPr>
            <a:t>• Dan Kauffman, Extension Specialist Seafood, Virginia Seafood Agricultural Research and Extension Center, Virginia Tech; dkauffma@vt.edu; 757-727-4861.</a:t>
          </a:r>
        </a:p>
        <a:p>
          <a:pPr algn="l"/>
          <a:endParaRPr lang="en-US" sz="1050" baseline="0">
            <a:solidFill>
              <a:schemeClr val="tx1"/>
            </a:solidFill>
            <a:latin typeface="Arial" pitchFamily="34" charset="0"/>
            <a:cs typeface="Arial" pitchFamily="34" charset="0"/>
          </a:endParaRPr>
        </a:p>
        <a:p>
          <a:pPr algn="l"/>
          <a:r>
            <a:rPr lang="en-US" sz="1050" baseline="0">
              <a:solidFill>
                <a:schemeClr val="tx1"/>
              </a:solidFill>
              <a:latin typeface="Arial" pitchFamily="34" charset="0"/>
              <a:cs typeface="Arial" pitchFamily="34" charset="0"/>
            </a:rPr>
            <a:t>• Tom Murray, Associate Director of Advisory Services, Virginia Institute of Marine Science; tjm@vims.edu; 804-684-7190.</a:t>
          </a:r>
        </a:p>
        <a:p>
          <a:pPr algn="ctr"/>
          <a:endParaRPr lang="en-US" sz="1050" baseline="0">
            <a:latin typeface="Arial" pitchFamily="34" charset="0"/>
            <a:cs typeface="Arial" pitchFamily="34" charset="0"/>
          </a:endParaRPr>
        </a:p>
        <a:p>
          <a:pPr algn="l"/>
          <a:r>
            <a:rPr lang="en-US" sz="1050" baseline="0">
              <a:latin typeface="Arial" pitchFamily="34" charset="0"/>
              <a:cs typeface="Arial" pitchFamily="34" charset="0"/>
            </a:rPr>
            <a:t>Spreadsheet was developed by Karen Hudson, Dan Kauffman, Alexander Solomon (independent consultant), and Tom Murray.</a:t>
          </a:r>
          <a:endParaRPr lang="en-US" sz="1050">
            <a:latin typeface="Arial" pitchFamily="34" charset="0"/>
            <a:cs typeface="Arial" pitchFamily="34" charset="0"/>
          </a:endParaRPr>
        </a:p>
      </xdr:txBody>
    </xdr:sp>
    <xdr:clientData/>
  </xdr:oneCellAnchor>
  <xdr:oneCellAnchor>
    <xdr:from>
      <xdr:col>9</xdr:col>
      <xdr:colOff>111760</xdr:colOff>
      <xdr:row>0</xdr:row>
      <xdr:rowOff>176107</xdr:rowOff>
    </xdr:from>
    <xdr:ext cx="5943600" cy="4731849"/>
    <xdr:sp macro="" textlink="">
      <xdr:nvSpPr>
        <xdr:cNvPr id="5" name="TextBox 4"/>
        <xdr:cNvSpPr txBox="1"/>
      </xdr:nvSpPr>
      <xdr:spPr>
        <a:xfrm>
          <a:off x="6685280" y="176107"/>
          <a:ext cx="5943600" cy="4731849"/>
        </a:xfrm>
        <a:prstGeom prst="rect">
          <a:avLst/>
        </a:prstGeom>
        <a:noFill/>
        <a:ln w="9525">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lgn="ctr">
            <a:lnSpc>
              <a:spcPts val="1200"/>
            </a:lnSpc>
            <a:buFont typeface="Arial" pitchFamily="34" charset="0"/>
            <a:buNone/>
          </a:pPr>
          <a:endParaRPr lang="en-US" sz="1200" b="1">
            <a:latin typeface="Arial" pitchFamily="34" charset="0"/>
            <a:cs typeface="Arial" pitchFamily="34" charset="0"/>
          </a:endParaRPr>
        </a:p>
        <a:p>
          <a:pPr marL="0" indent="0" algn="ctr">
            <a:lnSpc>
              <a:spcPts val="1200"/>
            </a:lnSpc>
            <a:buFont typeface="Arial" pitchFamily="34" charset="0"/>
            <a:buNone/>
          </a:pPr>
          <a:r>
            <a:rPr lang="en-US" sz="1200" b="1">
              <a:latin typeface="Arial" pitchFamily="34" charset="0"/>
              <a:cs typeface="Arial" pitchFamily="34" charset="0"/>
            </a:rPr>
            <a:t>General Guidelines</a:t>
          </a:r>
        </a:p>
        <a:p>
          <a:pPr marL="0" marR="0" lvl="0" indent="0" defTabSz="914400" eaLnBrk="1" fontAlgn="auto" latinLnBrk="0" hangingPunct="1">
            <a:lnSpc>
              <a:spcPts val="1200"/>
            </a:lnSpc>
            <a:spcBef>
              <a:spcPts val="0"/>
            </a:spcBef>
            <a:spcAft>
              <a:spcPts val="0"/>
            </a:spcAft>
            <a:buClrTx/>
            <a:buSzTx/>
            <a:buFontTx/>
            <a:buNone/>
            <a:tabLst/>
            <a:defRPr/>
          </a:pPr>
          <a:endParaRPr kumimoji="0" lang="en-US" sz="1100" b="1" i="0" u="none" strike="noStrike" kern="0" cap="none" spc="0" normalizeH="0" baseline="0" noProof="0">
            <a:ln>
              <a:noFill/>
            </a:ln>
            <a:solidFill>
              <a:schemeClr val="tx1"/>
            </a:solidFill>
            <a:effectLst/>
            <a:uLnTx/>
            <a:uFillTx/>
            <a:latin typeface="Arial" pitchFamily="34" charset="0"/>
            <a:ea typeface="+mn-ea"/>
            <a:cs typeface="Arial" pitchFamily="34" charset="0"/>
          </a:endParaRPr>
        </a:p>
        <a:p>
          <a:pPr marL="0" marR="0" lvl="0" indent="0" defTabSz="914400" eaLnBrk="1" fontAlgn="auto" latinLnBrk="0" hangingPunct="1">
            <a:lnSpc>
              <a:spcPts val="12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Arial" pitchFamily="34" charset="0"/>
              <a:ea typeface="+mn-ea"/>
              <a:cs typeface="Arial" pitchFamily="34" charset="0"/>
            </a:rPr>
            <a:t>• </a:t>
          </a: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This budget is for growers marketing 250,000 to 1 million oysters per year.</a:t>
          </a:r>
        </a:p>
        <a:p>
          <a:pPr marL="457200" marR="0" lvl="1" indent="0" defTabSz="914400" eaLnBrk="1" fontAlgn="auto" latinLnBrk="0" hangingPunct="1">
            <a:lnSpc>
              <a:spcPts val="1200"/>
            </a:lnSpc>
            <a:spcBef>
              <a:spcPts val="0"/>
            </a:spcBef>
            <a:spcAft>
              <a:spcPts val="0"/>
            </a:spcAft>
            <a:buClrTx/>
            <a:buSzTx/>
            <a:buFontTx/>
            <a:buNone/>
            <a:tabLst/>
            <a:defRPr/>
          </a:pP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 If marketing less than 250,000 per year, use the small-scale budget.</a:t>
          </a:r>
        </a:p>
        <a:p>
          <a:pPr marL="457200" marR="0" lvl="1" indent="0" defTabSz="914400" eaLnBrk="1" fontAlgn="auto" latinLnBrk="0" hangingPunct="1">
            <a:lnSpc>
              <a:spcPts val="1200"/>
            </a:lnSpc>
            <a:spcBef>
              <a:spcPts val="0"/>
            </a:spcBef>
            <a:spcAft>
              <a:spcPts val="0"/>
            </a:spcAft>
            <a:buClrTx/>
            <a:buSzTx/>
            <a:buFontTx/>
            <a:buNone/>
            <a:tabLst/>
            <a:defRPr/>
          </a:pP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 Marketing more than 1 million per year is not considered in this budget.</a:t>
          </a:r>
        </a:p>
        <a:p>
          <a:pPr marL="457200" marR="0" lvl="1" indent="0" defTabSz="914400" eaLnBrk="1" fontAlgn="auto" latinLnBrk="0" hangingPunct="1">
            <a:lnSpc>
              <a:spcPts val="1200"/>
            </a:lnSpc>
            <a:spcBef>
              <a:spcPts val="0"/>
            </a:spcBef>
            <a:spcAft>
              <a:spcPts val="0"/>
            </a:spcAft>
            <a:buClrTx/>
            <a:buSzTx/>
            <a:buFontTx/>
            <a:buNone/>
            <a:tabLst/>
            <a:defRPr/>
          </a:pP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 The basic difference: </a:t>
          </a:r>
        </a:p>
        <a:p>
          <a:pPr marL="914400" marR="0" lvl="2" indent="0" defTabSz="914400" eaLnBrk="1" fontAlgn="auto" latinLnBrk="0" hangingPunct="1">
            <a:lnSpc>
              <a:spcPts val="1200"/>
            </a:lnSpc>
            <a:spcBef>
              <a:spcPts val="0"/>
            </a:spcBef>
            <a:spcAft>
              <a:spcPts val="0"/>
            </a:spcAft>
            <a:buClrTx/>
            <a:buSzTx/>
            <a:buFontTx/>
            <a:buNone/>
            <a:tabLst/>
            <a:defRPr/>
          </a:pP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 Small-scale − Purchase 6 mm to 12 mm seed with no nursery (upwelling) investment.</a:t>
          </a:r>
        </a:p>
        <a:p>
          <a:pPr marL="914400" marR="0" lvl="2" indent="0" defTabSz="914400" eaLnBrk="1" fontAlgn="auto" latinLnBrk="0" hangingPunct="1">
            <a:lnSpc>
              <a:spcPts val="1200"/>
            </a:lnSpc>
            <a:spcBef>
              <a:spcPts val="0"/>
            </a:spcBef>
            <a:spcAft>
              <a:spcPts val="0"/>
            </a:spcAft>
            <a:buClrTx/>
            <a:buSzTx/>
            <a:buFontTx/>
            <a:buNone/>
            <a:tabLst/>
            <a:defRPr/>
          </a:pP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 Medium-scale − Purchase 1 mm to 2 mm seed with nursery investment.</a:t>
          </a:r>
        </a:p>
        <a:p>
          <a:pPr marL="0" marR="0" lvl="0" indent="0" defTabSz="914400" eaLnBrk="1" fontAlgn="auto" latinLnBrk="0" hangingPunct="1">
            <a:lnSpc>
              <a:spcPts val="1200"/>
            </a:lnSpc>
            <a:spcBef>
              <a:spcPts val="0"/>
            </a:spcBef>
            <a:spcAft>
              <a:spcPts val="0"/>
            </a:spcAft>
            <a:buClrTx/>
            <a:buSzTx/>
            <a:buFontTx/>
            <a:buNone/>
            <a:tabLst/>
            <a:defRPr/>
          </a:pPr>
          <a:endPar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endParaRPr>
        </a:p>
        <a:p>
          <a:pPr marL="0" indent="0">
            <a:lnSpc>
              <a:spcPts val="1200"/>
            </a:lnSpc>
            <a:buFontTx/>
            <a:buNone/>
          </a:pPr>
          <a:r>
            <a:rPr lang="en-US" sz="1050" b="0">
              <a:latin typeface="Arial" pitchFamily="34" charset="0"/>
              <a:cs typeface="Arial" pitchFamily="34" charset="0"/>
            </a:rPr>
            <a:t>• Changing cells.</a:t>
          </a:r>
          <a:endParaRPr lang="en-US" sz="1050" b="0" u="sng" baseline="0">
            <a:latin typeface="Arial" pitchFamily="34" charset="0"/>
            <a:cs typeface="Arial" pitchFamily="34" charset="0"/>
          </a:endParaRPr>
        </a:p>
        <a:p>
          <a:pPr marL="457200" lvl="1" indent="0">
            <a:lnSpc>
              <a:spcPts val="1200"/>
            </a:lnSpc>
            <a:buFontTx/>
            <a:buNone/>
          </a:pPr>
          <a:r>
            <a:rPr lang="en-US" sz="1050" b="0" baseline="0">
              <a:latin typeface="Arial" pitchFamily="34" charset="0"/>
              <a:cs typeface="Arial" pitchFamily="34" charset="0"/>
            </a:rPr>
            <a:t>- Cells with the most impact and most farm-to-</a:t>
          </a:r>
          <a:r>
            <a:rPr lang="en-US" sz="1050" b="0" baseline="0">
              <a:solidFill>
                <a:srgbClr val="000000"/>
              </a:solidFill>
              <a:latin typeface="Arial" pitchFamily="34" charset="0"/>
              <a:cs typeface="Arial" pitchFamily="34" charset="0"/>
            </a:rPr>
            <a:t>farm variability </a:t>
          </a:r>
          <a:r>
            <a:rPr lang="en-US" sz="1050" b="0" baseline="0">
              <a:latin typeface="Arial" pitchFamily="34" charset="0"/>
              <a:cs typeface="Arial" pitchFamily="34" charset="0"/>
            </a:rPr>
            <a:t>are noted in maroon with a diagonal line fill.</a:t>
          </a:r>
        </a:p>
        <a:p>
          <a:pPr marL="457200" lvl="1" indent="0">
            <a:lnSpc>
              <a:spcPts val="1300"/>
            </a:lnSpc>
            <a:buFontTx/>
            <a:buNone/>
          </a:pPr>
          <a:r>
            <a:rPr lang="en-US" sz="1050" b="0" baseline="0">
              <a:latin typeface="Arial" pitchFamily="34" charset="0"/>
              <a:cs typeface="Arial" pitchFamily="34" charset="0"/>
            </a:rPr>
            <a:t>- Some cells are locked in order to protect formulas.</a:t>
          </a:r>
        </a:p>
        <a:p>
          <a:pPr marL="457200" lvl="1" indent="0">
            <a:lnSpc>
              <a:spcPts val="1300"/>
            </a:lnSpc>
            <a:buFontTx/>
            <a:buNone/>
          </a:pPr>
          <a:r>
            <a:rPr lang="en-US" sz="1050" b="0" baseline="0">
              <a:latin typeface="Arial" pitchFamily="34" charset="0"/>
              <a:cs typeface="Arial" pitchFamily="34" charset="0"/>
            </a:rPr>
            <a:t>- Changes to capital costs of the depreciation items must be made on the </a:t>
          </a:r>
          <a:r>
            <a:rPr lang="en-US" sz="1050" b="1" baseline="0">
              <a:latin typeface="Arial" pitchFamily="34" charset="0"/>
              <a:cs typeface="Arial" pitchFamily="34" charset="0"/>
            </a:rPr>
            <a:t>Line Item Notes </a:t>
          </a:r>
          <a:r>
            <a:rPr lang="en-US" sz="1050" b="0" baseline="0">
              <a:latin typeface="Arial" pitchFamily="34" charset="0"/>
              <a:cs typeface="Arial" pitchFamily="34" charset="0"/>
            </a:rPr>
            <a:t>worksheet (not on the main budget worksheet).</a:t>
          </a:r>
        </a:p>
        <a:p>
          <a:pPr marL="0" lvl="0" indent="0">
            <a:lnSpc>
              <a:spcPts val="1300"/>
            </a:lnSpc>
            <a:buFontTx/>
            <a:buNone/>
          </a:pPr>
          <a:endParaRPr lang="en-US" sz="1050" b="1" baseline="0">
            <a:latin typeface="Arial" pitchFamily="34" charset="0"/>
            <a:cs typeface="Arial" pitchFamily="34" charset="0"/>
          </a:endParaRPr>
        </a:p>
        <a:p>
          <a:pPr marL="0" indent="0">
            <a:lnSpc>
              <a:spcPts val="1300"/>
            </a:lnSpc>
            <a:buFontTx/>
            <a:buNone/>
          </a:pPr>
          <a:r>
            <a:rPr lang="en-US" sz="1050" b="0" baseline="0">
              <a:latin typeface="Arial" pitchFamily="34" charset="0"/>
              <a:cs typeface="Arial" pitchFamily="34" charset="0"/>
            </a:rPr>
            <a:t>• Worksheets: Oyster Crop Budget, Line Item Notes, and Budget Evaluation. </a:t>
          </a:r>
          <a:r>
            <a:rPr lang="en-US" sz="1050" b="0" u="none" baseline="0">
              <a:latin typeface="Arial" pitchFamily="34" charset="0"/>
              <a:cs typeface="Arial" pitchFamily="34" charset="0"/>
            </a:rPr>
            <a:t>To move between worksheets, select tabs at the bottom of the screen.</a:t>
          </a:r>
        </a:p>
        <a:p>
          <a:pPr marL="457200" lvl="1" indent="0">
            <a:lnSpc>
              <a:spcPts val="1300"/>
            </a:lnSpc>
            <a:buFontTx/>
            <a:buNone/>
          </a:pPr>
          <a:r>
            <a:rPr lang="en-US" sz="1050" b="0" u="none" baseline="0">
              <a:latin typeface="Arial" pitchFamily="34" charset="0"/>
              <a:cs typeface="Arial" pitchFamily="34" charset="0"/>
            </a:rPr>
            <a:t>-</a:t>
          </a:r>
          <a:r>
            <a:rPr lang="en-US" sz="1050" b="1" u="none" baseline="0">
              <a:latin typeface="Arial" pitchFamily="34" charset="0"/>
              <a:cs typeface="Arial" pitchFamily="34" charset="0"/>
            </a:rPr>
            <a:t> Oyster Crop Budget </a:t>
          </a:r>
          <a:r>
            <a:rPr lang="en-US" sz="1050" b="0" u="none" baseline="0">
              <a:latin typeface="Arial" pitchFamily="34" charset="0"/>
              <a:cs typeface="Arial" pitchFamily="34" charset="0"/>
            </a:rPr>
            <a:t>− The main budget spreadsheet.    </a:t>
          </a:r>
        </a:p>
        <a:p>
          <a:pPr marL="457200" lvl="1" indent="0">
            <a:lnSpc>
              <a:spcPts val="1300"/>
            </a:lnSpc>
            <a:buFontTx/>
            <a:buNone/>
          </a:pPr>
          <a:r>
            <a:rPr lang="en-US" sz="1050" b="0" u="none" baseline="0">
              <a:latin typeface="Arial" pitchFamily="34" charset="0"/>
              <a:cs typeface="Arial" pitchFamily="34" charset="0"/>
            </a:rPr>
            <a:t>-</a:t>
          </a:r>
          <a:r>
            <a:rPr lang="en-US" sz="1050" b="1" u="none" baseline="0">
              <a:latin typeface="Arial" pitchFamily="34" charset="0"/>
              <a:cs typeface="Arial" pitchFamily="34" charset="0"/>
            </a:rPr>
            <a:t> Line Item Notes </a:t>
          </a:r>
          <a:r>
            <a:rPr lang="en-US" sz="1050" b="0" u="none" baseline="0">
              <a:latin typeface="Arial" pitchFamily="34" charset="0"/>
              <a:cs typeface="Arial" pitchFamily="34" charset="0"/>
            </a:rPr>
            <a:t>− Explanation of certain line items (labor, fuel, and capital costs − gear). Changes here will carry over to the main budget.</a:t>
          </a:r>
        </a:p>
        <a:p>
          <a:pPr marL="457200" lvl="1" indent="0">
            <a:lnSpc>
              <a:spcPts val="1300"/>
            </a:lnSpc>
            <a:buFontTx/>
            <a:buNone/>
          </a:pPr>
          <a:r>
            <a:rPr lang="en-US" sz="1050" b="0" u="none" baseline="0">
              <a:latin typeface="Arial" pitchFamily="34" charset="0"/>
              <a:cs typeface="Arial" pitchFamily="34" charset="0"/>
            </a:rPr>
            <a:t>-</a:t>
          </a:r>
          <a:r>
            <a:rPr lang="en-US" sz="1050" b="1" u="none" baseline="0">
              <a:latin typeface="Arial" pitchFamily="34" charset="0"/>
              <a:cs typeface="Arial" pitchFamily="34" charset="0"/>
            </a:rPr>
            <a:t> Budget Evaluation </a:t>
          </a:r>
          <a:r>
            <a:rPr lang="en-US" sz="1050" b="0" u="none" baseline="0">
              <a:latin typeface="Arial" pitchFamily="34" charset="0"/>
              <a:cs typeface="Arial" pitchFamily="34" charset="0"/>
            </a:rPr>
            <a:t>−</a:t>
          </a:r>
          <a:r>
            <a:rPr lang="en-US" sz="1050" b="0" baseline="0">
              <a:latin typeface="Arial" pitchFamily="34" charset="0"/>
              <a:cs typeface="Arial" pitchFamily="34" charset="0"/>
            </a:rPr>
            <a:t> Outlines your specific budget in terms of cost of items as a percentage of the total budget and the cost of production per oyster.</a:t>
          </a:r>
        </a:p>
        <a:p>
          <a:pPr marL="0" lvl="0" indent="0">
            <a:lnSpc>
              <a:spcPts val="1300"/>
            </a:lnSpc>
            <a:buFontTx/>
            <a:buNone/>
          </a:pPr>
          <a:endParaRPr lang="en-US" sz="1050" b="0" baseline="0">
            <a:latin typeface="Arial" pitchFamily="34" charset="0"/>
            <a:cs typeface="Arial" pitchFamily="34" charset="0"/>
          </a:endParaRPr>
        </a:p>
        <a:p>
          <a:pPr marL="0" lvl="0" indent="0">
            <a:lnSpc>
              <a:spcPts val="1200"/>
            </a:lnSpc>
            <a:buFontTx/>
            <a:buNone/>
          </a:pPr>
          <a:r>
            <a:rPr lang="en-US" sz="1050" b="0" baseline="0">
              <a:latin typeface="Arial" pitchFamily="34" charset="0"/>
              <a:cs typeface="Arial" pitchFamily="34" charset="0"/>
            </a:rPr>
            <a:t>• Hovering your mouse</a:t>
          </a:r>
          <a:r>
            <a:rPr lang="en-US" sz="1100" b="0" baseline="0">
              <a:latin typeface="Arial" pitchFamily="34" charset="0"/>
              <a:cs typeface="Arial" pitchFamily="34" charset="0"/>
            </a:rPr>
            <a:t> pointer over cells with red triangles in the corner shows explanations.</a:t>
          </a:r>
        </a:p>
      </xdr:txBody>
    </xdr:sp>
    <xdr:clientData/>
  </xdr:oneCellAnchor>
  <xdr:oneCellAnchor>
    <xdr:from>
      <xdr:col>0</xdr:col>
      <xdr:colOff>50800</xdr:colOff>
      <xdr:row>23</xdr:row>
      <xdr:rowOff>10160</xdr:rowOff>
    </xdr:from>
    <xdr:ext cx="6512560" cy="3799840"/>
    <xdr:sp macro="" textlink="">
      <xdr:nvSpPr>
        <xdr:cNvPr id="6" name="TextBox 5"/>
        <xdr:cNvSpPr txBox="1"/>
      </xdr:nvSpPr>
      <xdr:spPr>
        <a:xfrm>
          <a:off x="50800" y="4307840"/>
          <a:ext cx="6512560" cy="3799840"/>
        </a:xfrm>
        <a:prstGeom prst="rect">
          <a:avLst/>
        </a:prstGeom>
        <a:solidFill>
          <a:schemeClr val="bg1"/>
        </a:solid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lnSpc>
              <a:spcPct val="150000"/>
            </a:lnSpc>
          </a:pPr>
          <a:r>
            <a:rPr lang="en-US" sz="1050" b="1" i="0" u="none" strike="noStrike">
              <a:solidFill>
                <a:schemeClr val="tx1"/>
              </a:solidFill>
              <a:effectLst/>
              <a:latin typeface="Arial" pitchFamily="34" charset="0"/>
              <a:ea typeface="+mn-ea"/>
              <a:cs typeface="Arial" pitchFamily="34" charset="0"/>
            </a:rPr>
            <a:t>Basic steps for using this spreadsheet:</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1.</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Open the </a:t>
          </a:r>
          <a:r>
            <a:rPr lang="en-US" sz="1050" b="1" i="0" u="none" strike="noStrike">
              <a:solidFill>
                <a:schemeClr val="tx1"/>
              </a:solidFill>
              <a:effectLst/>
              <a:latin typeface="Arial" pitchFamily="34" charset="0"/>
              <a:ea typeface="+mn-ea"/>
              <a:cs typeface="Arial" pitchFamily="34" charset="0"/>
            </a:rPr>
            <a:t>Oyster Crop Budget </a:t>
          </a:r>
          <a:r>
            <a:rPr lang="en-US" sz="1050" b="0" i="0" u="none" strike="noStrike">
              <a:solidFill>
                <a:schemeClr val="tx1"/>
              </a:solidFill>
              <a:effectLst/>
              <a:latin typeface="Arial" pitchFamily="34" charset="0"/>
              <a:ea typeface="+mn-ea"/>
              <a:cs typeface="Arial" pitchFamily="34" charset="0"/>
            </a:rPr>
            <a:t>worksheet and enter your target oyster sales.</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2.</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Modify the key variables if needed (upper left-hand box in maroon).</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3.</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Review your Year 1 and Year 2 revenue (based on inputs so far).</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4.</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Review and modify operating expenses (columns C and D) as needed.</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5.</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Review and modify fixed costs (columns C and D) as needed.</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6. Review depreciation expenses by opening the </a:t>
          </a:r>
          <a:r>
            <a:rPr lang="en-US" sz="1050" b="1" i="0" u="none" strike="noStrike">
              <a:solidFill>
                <a:schemeClr val="tx1"/>
              </a:solidFill>
              <a:effectLst/>
              <a:latin typeface="Arial" pitchFamily="34" charset="0"/>
              <a:ea typeface="+mn-ea"/>
              <a:cs typeface="Arial" pitchFamily="34" charset="0"/>
            </a:rPr>
            <a:t>Line Item Notes </a:t>
          </a:r>
          <a:r>
            <a:rPr lang="en-US" sz="1050" b="0" i="0" u="none" strike="noStrike">
              <a:solidFill>
                <a:schemeClr val="tx1"/>
              </a:solidFill>
              <a:effectLst/>
              <a:latin typeface="Arial" pitchFamily="34" charset="0"/>
              <a:ea typeface="+mn-ea"/>
              <a:cs typeface="Arial" pitchFamily="34" charset="0"/>
            </a:rPr>
            <a:t>worksheet. (Changes in capital costs and depreciation should be made in the Line Item Notes worksheet only.) </a:t>
          </a:r>
          <a:r>
            <a:rPr lang="en-US" sz="1050" i="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7.</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Return to the </a:t>
          </a:r>
          <a:r>
            <a:rPr lang="en-US" sz="1050" b="1" i="0" u="none" strike="noStrike">
              <a:solidFill>
                <a:schemeClr val="tx1"/>
              </a:solidFill>
              <a:effectLst/>
              <a:latin typeface="Arial" pitchFamily="34" charset="0"/>
              <a:ea typeface="+mn-ea"/>
              <a:cs typeface="Arial" pitchFamily="34" charset="0"/>
            </a:rPr>
            <a:t>Oyster Crop Budget </a:t>
          </a:r>
          <a:r>
            <a:rPr lang="en-US" sz="1050" b="0" i="0" u="none" strike="noStrike">
              <a:solidFill>
                <a:schemeClr val="tx1"/>
              </a:solidFill>
              <a:effectLst/>
              <a:latin typeface="Arial" pitchFamily="34" charset="0"/>
              <a:ea typeface="+mn-ea"/>
              <a:cs typeface="Arial" pitchFamily="34" charset="0"/>
            </a:rPr>
            <a:t>worksheet</a:t>
          </a:r>
          <a:r>
            <a:rPr lang="en-US" sz="1050">
              <a:latin typeface="Arial" pitchFamily="34" charset="0"/>
              <a:cs typeface="Arial" pitchFamily="34" charset="0"/>
            </a:rPr>
            <a:t>.</a:t>
          </a:r>
        </a:p>
        <a:p>
          <a:pPr>
            <a:lnSpc>
              <a:spcPct val="150000"/>
            </a:lnSpc>
          </a:pPr>
          <a:r>
            <a:rPr lang="en-US" sz="1050" b="0" i="0" u="none" strike="noStrike">
              <a:solidFill>
                <a:schemeClr val="tx1"/>
              </a:solidFill>
              <a:effectLst/>
              <a:latin typeface="Arial" pitchFamily="34" charset="0"/>
              <a:ea typeface="+mn-ea"/>
              <a:cs typeface="Arial" pitchFamily="34" charset="0"/>
            </a:rPr>
            <a:t>Step 8.</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Review and modify permitting/lease costs (columns C and D) as needed.</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9.</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Examine the sensitivity table at the bottom of the Oyster Crop Budget</a:t>
          </a:r>
          <a:r>
            <a:rPr lang="en-US" sz="1050" b="0">
              <a:latin typeface="Arial" pitchFamily="34" charset="0"/>
              <a:cs typeface="Arial" pitchFamily="34" charset="0"/>
            </a:rPr>
            <a:t> </a:t>
          </a:r>
          <a:r>
            <a:rPr lang="en-US" sz="1050">
              <a:latin typeface="Arial" pitchFamily="34" charset="0"/>
              <a:cs typeface="Arial" pitchFamily="34" charset="0"/>
            </a:rPr>
            <a:t>worksheet</a:t>
          </a:r>
          <a:r>
            <a:rPr lang="en-US" sz="1050" baseline="0">
              <a:latin typeface="Arial" pitchFamily="34" charset="0"/>
              <a:cs typeface="Arial" pitchFamily="34" charset="0"/>
            </a:rPr>
            <a:t> </a:t>
          </a:r>
          <a:r>
            <a:rPr lang="en-US" sz="1050" i="0" baseline="0">
              <a:latin typeface="Arial" pitchFamily="34" charset="0"/>
              <a:cs typeface="Arial" pitchFamily="34" charset="0"/>
            </a:rPr>
            <a:t>(</a:t>
          </a:r>
          <a:r>
            <a:rPr lang="en-US" sz="1050" b="0" i="0" u="none" strike="noStrike">
              <a:solidFill>
                <a:schemeClr val="tx1"/>
              </a:solidFill>
              <a:effectLst/>
              <a:latin typeface="Arial" pitchFamily="34" charset="0"/>
              <a:ea typeface="+mn-ea"/>
              <a:cs typeface="Arial" pitchFamily="34" charset="0"/>
            </a:rPr>
            <a:t>shows Year 2 returns given different mortality rates and sales prices).</a:t>
          </a:r>
          <a:r>
            <a:rPr lang="en-US" sz="1050" i="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10.</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Open and examine the </a:t>
          </a:r>
          <a:r>
            <a:rPr lang="en-US" sz="1050" b="1" i="0" u="none" strike="noStrike">
              <a:solidFill>
                <a:schemeClr val="tx1"/>
              </a:solidFill>
              <a:effectLst/>
              <a:latin typeface="Arial" pitchFamily="34" charset="0"/>
              <a:ea typeface="+mn-ea"/>
              <a:cs typeface="Arial" pitchFamily="34" charset="0"/>
            </a:rPr>
            <a:t>Budget Evaluation </a:t>
          </a:r>
          <a:r>
            <a:rPr lang="en-US" sz="1050" b="0" i="0" u="none" strike="noStrike">
              <a:solidFill>
                <a:schemeClr val="tx1"/>
              </a:solidFill>
              <a:effectLst/>
              <a:latin typeface="Arial" pitchFamily="34" charset="0"/>
              <a:ea typeface="+mn-ea"/>
              <a:cs typeface="Arial" pitchFamily="34" charset="0"/>
            </a:rPr>
            <a:t>worksheet</a:t>
          </a:r>
          <a:r>
            <a:rPr lang="en-US" sz="1050">
              <a:latin typeface="Arial" pitchFamily="34" charset="0"/>
              <a:cs typeface="Arial" pitchFamily="34" charset="0"/>
            </a:rPr>
            <a:t> </a:t>
          </a:r>
          <a:r>
            <a:rPr lang="en-US" sz="1050" b="0" i="1" u="none" strike="noStrike">
              <a:solidFill>
                <a:schemeClr val="tx1"/>
              </a:solidFill>
              <a:effectLst/>
              <a:latin typeface="Arial" pitchFamily="34" charset="0"/>
              <a:ea typeface="+mn-ea"/>
              <a:cs typeface="Arial" pitchFamily="34" charset="0"/>
            </a:rPr>
            <a:t>(</a:t>
          </a:r>
          <a:r>
            <a:rPr lang="en-US" sz="1050" b="0" i="0" u="none" strike="noStrike">
              <a:solidFill>
                <a:schemeClr val="tx1"/>
              </a:solidFill>
              <a:effectLst/>
              <a:latin typeface="Arial" pitchFamily="34" charset="0"/>
              <a:ea typeface="+mn-ea"/>
              <a:cs typeface="Arial" pitchFamily="34" charset="0"/>
            </a:rPr>
            <a:t>shows percentage of total costs per line item</a:t>
          </a:r>
          <a:r>
            <a:rPr lang="en-US" sz="1050" b="0" i="0" u="none" strike="noStrike" baseline="0">
              <a:solidFill>
                <a:schemeClr val="tx1"/>
              </a:solidFill>
              <a:effectLst/>
              <a:latin typeface="Arial" pitchFamily="34" charset="0"/>
              <a:ea typeface="+mn-ea"/>
              <a:cs typeface="Arial" pitchFamily="34" charset="0"/>
            </a:rPr>
            <a:t> and</a:t>
          </a:r>
          <a:r>
            <a:rPr lang="en-US" sz="1050" b="0" i="0" u="none" strike="noStrike">
              <a:solidFill>
                <a:schemeClr val="tx1"/>
              </a:solidFill>
              <a:effectLst/>
              <a:latin typeface="Arial" pitchFamily="34" charset="0"/>
              <a:ea typeface="+mn-ea"/>
              <a:cs typeface="Arial" pitchFamily="34" charset="0"/>
            </a:rPr>
            <a:t> cost of production per oyster).</a:t>
          </a:r>
          <a:endParaRPr lang="en-US" sz="1050" i="0">
            <a:latin typeface="Arial" pitchFamily="34" charset="0"/>
            <a:cs typeface="Arial"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1727200</xdr:colOff>
      <xdr:row>0</xdr:row>
      <xdr:rowOff>292100</xdr:rowOff>
    </xdr:from>
    <xdr:to>
      <xdr:col>3</xdr:col>
      <xdr:colOff>215900</xdr:colOff>
      <xdr:row>0</xdr:row>
      <xdr:rowOff>660400</xdr:rowOff>
    </xdr:to>
    <xdr:pic>
      <xdr:nvPicPr>
        <xdr:cNvPr id="3209" name="Picture 5"/>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5422900" y="292100"/>
          <a:ext cx="2374900" cy="3683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558801</xdr:colOff>
      <xdr:row>6</xdr:row>
      <xdr:rowOff>146051</xdr:rowOff>
    </xdr:from>
    <xdr:to>
      <xdr:col>2</xdr:col>
      <xdr:colOff>203201</xdr:colOff>
      <xdr:row>12</xdr:row>
      <xdr:rowOff>120651</xdr:rowOff>
    </xdr:to>
    <xdr:sp macro="" textlink="">
      <xdr:nvSpPr>
        <xdr:cNvPr id="7" name="Rectangle 6"/>
        <xdr:cNvSpPr/>
      </xdr:nvSpPr>
      <xdr:spPr>
        <a:xfrm>
          <a:off x="482601" y="3463926"/>
          <a:ext cx="4876800" cy="1193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editAs="oneCell">
    <xdr:from>
      <xdr:col>0</xdr:col>
      <xdr:colOff>279400</xdr:colOff>
      <xdr:row>0</xdr:row>
      <xdr:rowOff>88900</xdr:rowOff>
    </xdr:from>
    <xdr:to>
      <xdr:col>0</xdr:col>
      <xdr:colOff>2882900</xdr:colOff>
      <xdr:row>0</xdr:row>
      <xdr:rowOff>723900</xdr:rowOff>
    </xdr:to>
    <xdr:pic>
      <xdr:nvPicPr>
        <xdr:cNvPr id="3211" name="Picture 3"/>
        <xdr:cNvPicPr>
          <a:picLocks noChangeAspect="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79400" y="88900"/>
          <a:ext cx="2603500" cy="635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5</xdr:col>
      <xdr:colOff>266700</xdr:colOff>
      <xdr:row>0</xdr:row>
      <xdr:rowOff>25400</xdr:rowOff>
    </xdr:from>
    <xdr:to>
      <xdr:col>5</xdr:col>
      <xdr:colOff>1447800</xdr:colOff>
      <xdr:row>0</xdr:row>
      <xdr:rowOff>838200</xdr:rowOff>
    </xdr:to>
    <xdr:pic>
      <xdr:nvPicPr>
        <xdr:cNvPr id="3212" name="Picture 7"/>
        <xdr:cNvPicPr>
          <a:picLocks noChangeAspect="1"/>
        </xdr:cNvPicPr>
      </xdr:nvPicPr>
      <xdr:blipFill>
        <a:blip xmlns:r="http://schemas.openxmlformats.org/officeDocument/2006/relationships" r:embed="rId3">
          <a:extLst>
            <a:ext uri="{28A0092B-C50C-407E-A947-70E740481C1C}">
              <a14:useLocalDpi xmlns:a14="http://schemas.microsoft.com/office/drawing/2010/main" xmlns="" val="0"/>
            </a:ext>
          </a:extLst>
        </a:blip>
        <a:srcRect t="2" b="4510"/>
        <a:stretch>
          <a:fillRect/>
        </a:stretch>
      </xdr:blipFill>
      <xdr:spPr bwMode="auto">
        <a:xfrm>
          <a:off x="11125200" y="25400"/>
          <a:ext cx="1181100" cy="8128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2:R49"/>
  <sheetViews>
    <sheetView tabSelected="1" view="pageLayout" zoomScale="125" zoomScaleNormal="75" zoomScalePageLayoutView="125" workbookViewId="0">
      <selection activeCell="A3" sqref="A3:J3"/>
    </sheetView>
  </sheetViews>
  <sheetFormatPr defaultColWidth="8.85546875" defaultRowHeight="15"/>
  <cols>
    <col min="9" max="9" width="15.85546875" customWidth="1"/>
  </cols>
  <sheetData>
    <row r="2" spans="1:10" ht="21">
      <c r="A2" s="316" t="s">
        <v>43</v>
      </c>
      <c r="B2" s="317"/>
      <c r="C2" s="317"/>
      <c r="D2" s="317"/>
      <c r="E2" s="317"/>
      <c r="F2" s="317"/>
      <c r="G2" s="317"/>
      <c r="H2" s="317"/>
      <c r="I2" s="317"/>
      <c r="J2" s="318"/>
    </row>
    <row r="3" spans="1:10" ht="18">
      <c r="A3" s="319" t="s">
        <v>42</v>
      </c>
      <c r="B3" s="320"/>
      <c r="C3" s="320"/>
      <c r="D3" s="320"/>
      <c r="E3" s="320"/>
      <c r="F3" s="320"/>
      <c r="G3" s="320"/>
      <c r="H3" s="320"/>
      <c r="I3" s="320"/>
      <c r="J3" s="321"/>
    </row>
    <row r="4" spans="1:10" ht="15.75">
      <c r="A4" s="322"/>
      <c r="B4" s="320"/>
      <c r="C4" s="320"/>
      <c r="D4" s="320"/>
      <c r="E4" s="320"/>
      <c r="F4" s="320"/>
      <c r="G4" s="320"/>
      <c r="H4" s="320"/>
      <c r="I4" s="320"/>
      <c r="J4" s="321"/>
    </row>
    <row r="35" spans="1:18">
      <c r="Q35" s="115"/>
      <c r="R35" s="115"/>
    </row>
    <row r="36" spans="1:18">
      <c r="Q36" s="115"/>
      <c r="R36" s="115"/>
    </row>
    <row r="37" spans="1:18">
      <c r="Q37" s="115"/>
      <c r="R37" s="115"/>
    </row>
    <row r="39" spans="1:18">
      <c r="A39" s="315"/>
      <c r="B39" s="315"/>
      <c r="C39" s="315"/>
      <c r="D39" s="315"/>
      <c r="E39" s="315"/>
      <c r="F39" s="315"/>
      <c r="G39" s="323"/>
      <c r="H39" s="323"/>
    </row>
    <row r="40" spans="1:18">
      <c r="A40" s="315"/>
      <c r="B40" s="315"/>
      <c r="C40" s="315"/>
      <c r="D40" s="315"/>
      <c r="E40" s="315"/>
      <c r="F40" s="315"/>
      <c r="G40" s="323"/>
      <c r="H40" s="323"/>
    </row>
    <row r="41" spans="1:18">
      <c r="A41" s="136"/>
      <c r="B41" s="136"/>
      <c r="C41" s="136"/>
      <c r="D41" s="136"/>
      <c r="E41" s="136"/>
      <c r="F41" s="136"/>
      <c r="G41" s="136"/>
    </row>
    <row r="42" spans="1:18">
      <c r="A42" s="136"/>
      <c r="B42" s="136"/>
      <c r="C42" s="136"/>
      <c r="D42" s="136"/>
      <c r="E42" s="136"/>
      <c r="F42" s="136"/>
      <c r="G42" s="136"/>
    </row>
    <row r="43" spans="1:18">
      <c r="A43" s="136"/>
      <c r="B43" s="136"/>
      <c r="C43" s="136"/>
      <c r="D43" s="136"/>
      <c r="E43" s="136"/>
      <c r="F43" s="136"/>
      <c r="G43" s="136"/>
    </row>
    <row r="44" spans="1:18">
      <c r="A44" s="136"/>
      <c r="B44" s="136"/>
      <c r="C44" s="136"/>
      <c r="D44" s="136"/>
      <c r="E44" s="136"/>
      <c r="F44" s="136"/>
      <c r="G44" s="136"/>
    </row>
    <row r="45" spans="1:18">
      <c r="A45" s="136"/>
      <c r="B45" s="136"/>
      <c r="C45" s="136"/>
      <c r="D45" s="136"/>
      <c r="E45" s="136"/>
      <c r="F45" s="136"/>
      <c r="G45" s="136"/>
    </row>
    <row r="46" spans="1:18">
      <c r="A46" s="136"/>
      <c r="B46" s="136"/>
      <c r="C46" s="136"/>
      <c r="D46" s="136"/>
      <c r="E46" s="136"/>
      <c r="F46" s="136"/>
      <c r="G46" s="136"/>
    </row>
    <row r="47" spans="1:18">
      <c r="A47" s="313" t="s">
        <v>178</v>
      </c>
      <c r="B47" s="313"/>
      <c r="C47" s="313"/>
      <c r="D47" s="313"/>
      <c r="E47" s="313"/>
      <c r="F47" s="313"/>
      <c r="G47" s="313"/>
      <c r="H47" s="314" t="s">
        <v>34</v>
      </c>
      <c r="I47" s="314"/>
    </row>
    <row r="48" spans="1:18">
      <c r="A48" s="313"/>
      <c r="B48" s="313"/>
      <c r="C48" s="313"/>
      <c r="D48" s="313"/>
      <c r="E48" s="313"/>
      <c r="F48" s="313"/>
      <c r="G48" s="313"/>
      <c r="H48" s="314"/>
      <c r="I48" s="314"/>
    </row>
    <row r="49" spans="1:7">
      <c r="A49" s="136"/>
      <c r="B49" s="136"/>
      <c r="C49" s="136"/>
      <c r="D49" s="136"/>
      <c r="E49" s="136"/>
      <c r="F49" s="136"/>
      <c r="G49" s="136"/>
    </row>
  </sheetData>
  <mergeCells count="7">
    <mergeCell ref="A47:G48"/>
    <mergeCell ref="H47:I48"/>
    <mergeCell ref="A39:F40"/>
    <mergeCell ref="A2:J2"/>
    <mergeCell ref="A3:J3"/>
    <mergeCell ref="A4:J4"/>
    <mergeCell ref="G39:H40"/>
  </mergeCells>
  <phoneticPr fontId="36" type="noConversion"/>
  <hyperlinks>
    <hyperlink ref="H47" location="'Oyster Crop Budget'!A1" display="START"/>
  </hyperlinks>
  <pageMargins left="0.7" right="0.7" top="0.75" bottom="0.75" header="0.3" footer="0.3"/>
  <pageSetup scale="98" orientation="portrait" r:id="rId1"/>
  <headerFooter>
    <oddHeader>&amp;C&amp;"Calibri,Bold"&amp;14&amp;K000000Medium-Scale Cultchless Oyster Crop Budgets: Menu_x000D_</oddHeader>
  </headerFooter>
  <drawing r:id="rId2"/>
  <extLst>
    <ext xmlns:mx="http://schemas.microsoft.com/office/mac/excel/2008/main" uri="{64002731-A6B0-56B0-2670-7721B7C09600}">
      <mx:PLV Mode="1" OnePage="0" WScale="0"/>
    </ext>
  </extLst>
</worksheet>
</file>

<file path=xl/worksheets/sheet2.xml><?xml version="1.0" encoding="utf-8"?>
<worksheet xmlns="http://schemas.openxmlformats.org/spreadsheetml/2006/main" xmlns:r="http://schemas.openxmlformats.org/officeDocument/2006/relationships">
  <dimension ref="A1:O144"/>
  <sheetViews>
    <sheetView view="pageLayout" topLeftCell="A114" zoomScaleSheetLayoutView="100" workbookViewId="0">
      <selection activeCell="A135" sqref="A135"/>
    </sheetView>
  </sheetViews>
  <sheetFormatPr defaultColWidth="8.85546875" defaultRowHeight="12.75"/>
  <cols>
    <col min="1" max="1" width="48.42578125" style="2" customWidth="1"/>
    <col min="2" max="2" width="29.28515625" style="8" customWidth="1"/>
    <col min="3" max="3" width="21.7109375" style="2" bestFit="1" customWidth="1"/>
    <col min="4" max="4" width="23.42578125" style="212" customWidth="1"/>
    <col min="5" max="5" width="19.42578125" style="2" bestFit="1" customWidth="1"/>
    <col min="6" max="6" width="25" style="2" customWidth="1"/>
    <col min="7" max="8" width="24.85546875" style="2" customWidth="1"/>
    <col min="9" max="9" width="33.42578125" style="2" bestFit="1" customWidth="1"/>
    <col min="10" max="11" width="24.85546875" style="2" customWidth="1"/>
    <col min="12" max="13" width="24.28515625" style="2" customWidth="1"/>
    <col min="14" max="14" width="12.7109375" style="2" bestFit="1" customWidth="1"/>
    <col min="15" max="16384" width="8.85546875" style="2"/>
  </cols>
  <sheetData>
    <row r="1" spans="1:8" ht="67.5" customHeight="1"/>
    <row r="2" spans="1:8" s="1" customFormat="1" ht="20.25">
      <c r="A2" s="333" t="s">
        <v>44</v>
      </c>
      <c r="B2" s="334"/>
      <c r="C2" s="334"/>
      <c r="D2" s="334"/>
      <c r="E2" s="334"/>
      <c r="F2" s="334"/>
    </row>
    <row r="3" spans="1:8" s="1" customFormat="1" ht="20.25">
      <c r="A3" s="333" t="s">
        <v>45</v>
      </c>
      <c r="B3" s="335"/>
      <c r="C3" s="335"/>
      <c r="D3" s="335"/>
      <c r="E3" s="335"/>
      <c r="F3" s="335"/>
    </row>
    <row r="4" spans="1:8" s="1" customFormat="1" ht="15" customHeight="1">
      <c r="A4" s="106"/>
      <c r="B4" s="48"/>
      <c r="C4" s="49"/>
      <c r="D4" s="340"/>
      <c r="E4" s="341"/>
      <c r="F4" s="341"/>
    </row>
    <row r="5" spans="1:8" s="31" customFormat="1" ht="84" customHeight="1">
      <c r="A5" s="338" t="s">
        <v>181</v>
      </c>
      <c r="B5" s="339"/>
      <c r="C5" s="339"/>
      <c r="D5" s="339"/>
      <c r="E5" s="339"/>
      <c r="F5" s="339"/>
    </row>
    <row r="6" spans="1:8" s="1" customFormat="1" ht="21.75" customHeight="1">
      <c r="A6" s="336" t="s">
        <v>46</v>
      </c>
      <c r="B6" s="337"/>
      <c r="C6" s="337"/>
      <c r="D6" s="337"/>
      <c r="E6" s="337"/>
      <c r="F6" s="337"/>
    </row>
    <row r="7" spans="1:8">
      <c r="C7" s="10"/>
      <c r="D7" s="213"/>
      <c r="E7" s="11"/>
      <c r="F7" s="11"/>
    </row>
    <row r="8" spans="1:8" ht="20.25">
      <c r="A8" s="166" t="s">
        <v>11</v>
      </c>
      <c r="B8" s="266" t="s">
        <v>26</v>
      </c>
      <c r="D8" s="342" t="s">
        <v>188</v>
      </c>
      <c r="E8" s="343"/>
      <c r="F8" s="278">
        <v>1000000</v>
      </c>
    </row>
    <row r="9" spans="1:8" ht="15.75">
      <c r="A9" s="12" t="s">
        <v>160</v>
      </c>
      <c r="B9" s="249">
        <v>0.25</v>
      </c>
      <c r="D9" s="345" t="s">
        <v>50</v>
      </c>
      <c r="E9" s="346"/>
      <c r="F9" s="276">
        <f>ROUNDUP(F8/(1-B10),-3)</f>
        <v>2000000</v>
      </c>
      <c r="G9" s="95"/>
    </row>
    <row r="10" spans="1:8" ht="15.75">
      <c r="A10" s="12" t="s">
        <v>47</v>
      </c>
      <c r="B10" s="299">
        <v>0.5</v>
      </c>
      <c r="C10" s="10"/>
      <c r="D10" s="347" t="s">
        <v>51</v>
      </c>
      <c r="E10" s="346"/>
      <c r="F10" s="277">
        <f>ROUNDUP(F8*B11,-2)</f>
        <v>200000</v>
      </c>
    </row>
    <row r="11" spans="1:8" ht="15.75">
      <c r="A11" s="12" t="s">
        <v>48</v>
      </c>
      <c r="B11" s="275">
        <v>0.2</v>
      </c>
      <c r="C11" s="10"/>
      <c r="D11" s="347" t="s">
        <v>52</v>
      </c>
      <c r="E11" s="346"/>
      <c r="F11" s="277">
        <f>ROUNDUP((F8*B11) + (F8*B12),-2)</f>
        <v>1000000</v>
      </c>
    </row>
    <row r="12" spans="1:8" ht="15.75">
      <c r="A12" s="12" t="s">
        <v>49</v>
      </c>
      <c r="B12" s="274">
        <v>0.8</v>
      </c>
      <c r="C12" s="10"/>
      <c r="D12" s="213"/>
    </row>
    <row r="13" spans="1:8" ht="18.75" thickBot="1">
      <c r="A13" s="122"/>
      <c r="B13" s="123"/>
      <c r="C13" s="10"/>
      <c r="D13" s="213"/>
      <c r="E13" s="331" t="s">
        <v>57</v>
      </c>
      <c r="F13" s="332"/>
      <c r="G13" s="42"/>
    </row>
    <row r="14" spans="1:8" s="32" customFormat="1" ht="33" thickTop="1" thickBot="1">
      <c r="A14" s="271" t="s">
        <v>16</v>
      </c>
      <c r="B14" s="271" t="s">
        <v>53</v>
      </c>
      <c r="C14" s="271" t="s">
        <v>54</v>
      </c>
      <c r="D14" s="272" t="s">
        <v>180</v>
      </c>
      <c r="E14" s="273" t="s">
        <v>55</v>
      </c>
      <c r="F14" s="273" t="s">
        <v>56</v>
      </c>
    </row>
    <row r="15" spans="1:8" s="13" customFormat="1" ht="16.5" thickTop="1">
      <c r="A15" s="267" t="s">
        <v>10</v>
      </c>
      <c r="B15" s="268"/>
      <c r="C15" s="269"/>
      <c r="D15" s="270"/>
      <c r="E15" s="269"/>
      <c r="F15" s="269"/>
    </row>
    <row r="16" spans="1:8" s="13" customFormat="1" ht="15.75">
      <c r="A16" s="14" t="s">
        <v>58</v>
      </c>
      <c r="B16" s="15" t="s">
        <v>121</v>
      </c>
      <c r="C16" s="47">
        <f>F8</f>
        <v>1000000</v>
      </c>
      <c r="D16" s="214">
        <f>B9</f>
        <v>0.25</v>
      </c>
      <c r="E16" s="124">
        <f>F10*D16</f>
        <v>50000</v>
      </c>
      <c r="F16" s="124">
        <f>F11*D16</f>
        <v>250000</v>
      </c>
      <c r="G16" s="22"/>
      <c r="H16" s="22"/>
    </row>
    <row r="17" spans="1:15" s="13" customFormat="1" ht="15">
      <c r="A17" s="99"/>
      <c r="B17" s="100"/>
      <c r="C17" s="100"/>
      <c r="D17" s="214"/>
      <c r="E17" s="125"/>
      <c r="F17" s="125"/>
    </row>
    <row r="18" spans="1:15" s="13" customFormat="1" ht="15.75">
      <c r="A18" s="16" t="s">
        <v>2</v>
      </c>
      <c r="B18" s="100"/>
      <c r="C18" s="100"/>
      <c r="D18" s="214"/>
      <c r="E18" s="125"/>
      <c r="F18" s="125"/>
    </row>
    <row r="19" spans="1:15" s="13" customFormat="1" ht="15.75">
      <c r="A19" s="17" t="s">
        <v>59</v>
      </c>
      <c r="B19" s="33">
        <v>1000</v>
      </c>
      <c r="C19" s="29">
        <f>F9/B19</f>
        <v>2000</v>
      </c>
      <c r="D19" s="215">
        <v>8</v>
      </c>
      <c r="E19" s="126">
        <f>D19*C19</f>
        <v>16000</v>
      </c>
      <c r="F19" s="126">
        <f>D19*C19</f>
        <v>16000</v>
      </c>
    </row>
    <row r="20" spans="1:15" s="13" customFormat="1" ht="15.75">
      <c r="A20" s="17" t="s">
        <v>60</v>
      </c>
      <c r="B20" s="100" t="s">
        <v>19</v>
      </c>
      <c r="C20" s="109">
        <f>IF(F9&lt;700001,'Line Item Notes'!C7,IF(F9&lt;800001,'Line Item Notes'!C8,IF(F9&lt;1000001,'Line Item Notes'!C9,IF(F9&lt;1500001,'Line Item Notes'!C10,'Line Item Notes'!C11))))</f>
        <v>6240</v>
      </c>
      <c r="D20" s="215">
        <v>12</v>
      </c>
      <c r="E20" s="126">
        <f>ROUNDUP(C20*D20,0)</f>
        <v>74880</v>
      </c>
      <c r="F20" s="126">
        <f>ROUNDUP(C20*D20,0)</f>
        <v>74880</v>
      </c>
      <c r="G20" s="22"/>
    </row>
    <row r="21" spans="1:15" s="13" customFormat="1" ht="15.75">
      <c r="A21" s="39" t="s">
        <v>61</v>
      </c>
      <c r="B21" s="100" t="s">
        <v>19</v>
      </c>
      <c r="C21" s="110">
        <f>IF(F9&lt;700001,'Line Item Notes'!D7,IF(F9&lt;800001,'Line Item Notes'!D8,IF(F9&lt;1000001,'Line Item Notes'!D9,IF(F9&lt;1500001,'Line Item Notes'!D10,'Line Item Notes'!D11))))</f>
        <v>5760</v>
      </c>
      <c r="D21" s="215">
        <v>9</v>
      </c>
      <c r="E21" s="126">
        <f>ROUNDUP(C21*D21,0)</f>
        <v>51840</v>
      </c>
      <c r="F21" s="126">
        <f>ROUNDUP(C21*D21,0)</f>
        <v>51840</v>
      </c>
      <c r="I21" s="18"/>
    </row>
    <row r="22" spans="1:15" s="13" customFormat="1" ht="15">
      <c r="A22" s="39" t="s">
        <v>62</v>
      </c>
      <c r="B22" s="62" t="s">
        <v>122</v>
      </c>
      <c r="C22" s="58">
        <f>(C20*D20)+(C21*D21)</f>
        <v>126720</v>
      </c>
      <c r="D22" s="216">
        <v>7.6499999999999999E-2</v>
      </c>
      <c r="E22" s="126">
        <f>ROUNDUP(C22*D22,0)</f>
        <v>9695</v>
      </c>
      <c r="F22" s="126">
        <f>ROUNDUP(C22*D22,0)</f>
        <v>9695</v>
      </c>
      <c r="I22" s="18"/>
    </row>
    <row r="23" spans="1:15" s="13" customFormat="1" ht="30">
      <c r="A23" s="99" t="s">
        <v>63</v>
      </c>
      <c r="B23" s="63" t="s">
        <v>123</v>
      </c>
      <c r="C23" s="102">
        <f>C22/100</f>
        <v>1267.2</v>
      </c>
      <c r="D23" s="217">
        <v>4</v>
      </c>
      <c r="E23" s="126">
        <f>ROUNDUP(C23*D23,0)</f>
        <v>5069</v>
      </c>
      <c r="F23" s="126">
        <f>ROUNDUP(C23*D23,0)</f>
        <v>5069</v>
      </c>
      <c r="G23" s="23"/>
      <c r="H23" s="24"/>
      <c r="I23" s="25"/>
      <c r="J23" s="23"/>
      <c r="K23" s="24"/>
      <c r="L23" s="26"/>
      <c r="M23" s="26"/>
      <c r="N23" s="26"/>
      <c r="O23" s="24"/>
    </row>
    <row r="24" spans="1:15" s="13" customFormat="1" ht="15.75">
      <c r="A24" s="39" t="s">
        <v>64</v>
      </c>
      <c r="B24" s="116" t="s">
        <v>193</v>
      </c>
      <c r="C24" s="111">
        <f>'Line Item Notes'!I15</f>
        <v>624</v>
      </c>
      <c r="D24" s="215">
        <f>'Line Item Notes'!E15</f>
        <v>3.5</v>
      </c>
      <c r="E24" s="126">
        <f>ROUNDUP(C24*D24,0)</f>
        <v>2184</v>
      </c>
      <c r="F24" s="126">
        <f>ROUNDUP(C24*D24,0)</f>
        <v>2184</v>
      </c>
      <c r="G24" s="45"/>
    </row>
    <row r="25" spans="1:15" s="13" customFormat="1" ht="15.75">
      <c r="A25" s="39" t="s">
        <v>65</v>
      </c>
      <c r="B25" s="116" t="s">
        <v>193</v>
      </c>
      <c r="C25" s="111">
        <f>'Line Item Notes'!I16</f>
        <v>693.33333333333337</v>
      </c>
      <c r="D25" s="215">
        <f>'Line Item Notes'!E16</f>
        <v>3.5</v>
      </c>
      <c r="E25" s="126">
        <f>ROUNDUP(D25*C25,0)</f>
        <v>2427</v>
      </c>
      <c r="F25" s="126">
        <f>ROUNDUP(D25*C25,0)</f>
        <v>2427</v>
      </c>
      <c r="G25" s="45"/>
    </row>
    <row r="26" spans="1:15" s="13" customFormat="1" ht="15">
      <c r="A26" s="39" t="s">
        <v>66</v>
      </c>
      <c r="B26" s="116" t="s">
        <v>195</v>
      </c>
      <c r="C26" s="103">
        <v>1</v>
      </c>
      <c r="D26" s="218">
        <v>1000</v>
      </c>
      <c r="E26" s="126">
        <f>C26*D26</f>
        <v>1000</v>
      </c>
      <c r="F26" s="126">
        <f>C26*D26</f>
        <v>1000</v>
      </c>
      <c r="G26" s="45"/>
    </row>
    <row r="27" spans="1:15" s="13" customFormat="1" ht="15">
      <c r="A27" s="39" t="s">
        <v>67</v>
      </c>
      <c r="B27" s="116" t="s">
        <v>196</v>
      </c>
      <c r="C27" s="103">
        <v>1</v>
      </c>
      <c r="D27" s="218">
        <v>750</v>
      </c>
      <c r="E27" s="126">
        <f>C27*D27</f>
        <v>750</v>
      </c>
      <c r="F27" s="126">
        <f>C27*D27</f>
        <v>750</v>
      </c>
      <c r="G27" s="45"/>
    </row>
    <row r="28" spans="1:15" s="13" customFormat="1" ht="30">
      <c r="A28" s="61" t="s">
        <v>134</v>
      </c>
      <c r="B28" s="116" t="s">
        <v>194</v>
      </c>
      <c r="C28" s="103">
        <v>1</v>
      </c>
      <c r="D28" s="218">
        <v>1000</v>
      </c>
      <c r="E28" s="126">
        <f>C28*D28</f>
        <v>1000</v>
      </c>
      <c r="F28" s="126">
        <f>C28*D28</f>
        <v>1000</v>
      </c>
      <c r="G28" s="45"/>
    </row>
    <row r="29" spans="1:15" s="13" customFormat="1" ht="15">
      <c r="A29" s="39" t="s">
        <v>68</v>
      </c>
      <c r="B29" s="301" t="s">
        <v>124</v>
      </c>
      <c r="C29" s="103">
        <v>1</v>
      </c>
      <c r="D29" s="218">
        <f>'Line Item Notes'!E23</f>
        <v>5550</v>
      </c>
      <c r="E29" s="126">
        <f>C29*D29</f>
        <v>5550</v>
      </c>
      <c r="F29" s="126" t="s">
        <v>12</v>
      </c>
      <c r="G29" s="45"/>
    </row>
    <row r="30" spans="1:15" s="13" customFormat="1" ht="15">
      <c r="A30" s="39" t="s">
        <v>70</v>
      </c>
      <c r="B30" s="116" t="s">
        <v>199</v>
      </c>
      <c r="C30" s="107">
        <f>SUM(C50:C51)</f>
        <v>834</v>
      </c>
      <c r="D30" s="217">
        <f>'Line Item Notes'!B26</f>
        <v>1</v>
      </c>
      <c r="E30" s="126">
        <f>ROUNDUP(C30*D30,0)</f>
        <v>834</v>
      </c>
      <c r="F30" s="126">
        <f>ROUNDUP(C30*D30,0)</f>
        <v>834</v>
      </c>
      <c r="G30" s="45"/>
    </row>
    <row r="31" spans="1:15" s="13" customFormat="1" ht="15">
      <c r="A31" s="39" t="s">
        <v>32</v>
      </c>
      <c r="B31" s="116" t="s">
        <v>198</v>
      </c>
      <c r="C31" s="103">
        <v>0</v>
      </c>
      <c r="D31" s="217">
        <v>0</v>
      </c>
      <c r="E31" s="126">
        <f>C31*D31</f>
        <v>0</v>
      </c>
      <c r="F31" s="126">
        <f>C31*D31</f>
        <v>0</v>
      </c>
    </row>
    <row r="32" spans="1:15" s="13" customFormat="1" ht="15">
      <c r="A32" s="39" t="s">
        <v>69</v>
      </c>
      <c r="B32" s="116" t="s">
        <v>194</v>
      </c>
      <c r="C32" s="103">
        <v>1</v>
      </c>
      <c r="D32" s="217">
        <v>0</v>
      </c>
      <c r="E32" s="126">
        <f>C32*D32</f>
        <v>0</v>
      </c>
      <c r="F32" s="126">
        <f>C32*D32</f>
        <v>0</v>
      </c>
    </row>
    <row r="33" spans="1:15" s="13" customFormat="1" ht="15">
      <c r="A33" s="99"/>
      <c r="B33" s="100"/>
      <c r="C33" s="99"/>
      <c r="D33" s="214"/>
      <c r="E33" s="126"/>
      <c r="F33" s="126"/>
    </row>
    <row r="34" spans="1:15" s="13" customFormat="1" ht="15.75">
      <c r="A34" s="290" t="s">
        <v>192</v>
      </c>
      <c r="B34" s="100"/>
      <c r="C34" s="99"/>
      <c r="D34" s="214"/>
      <c r="E34" s="127">
        <f>SUM(E19:E32)</f>
        <v>171229</v>
      </c>
      <c r="F34" s="127">
        <f>SUM(F19:F32)</f>
        <v>165679</v>
      </c>
    </row>
    <row r="35" spans="1:15" s="13" customFormat="1" ht="15.75">
      <c r="A35" s="99"/>
      <c r="B35" s="100"/>
      <c r="C35" s="99"/>
      <c r="D35" s="214"/>
      <c r="E35" s="127"/>
      <c r="F35" s="127"/>
    </row>
    <row r="36" spans="1:15" s="13" customFormat="1" ht="15.75">
      <c r="A36" s="16" t="s">
        <v>71</v>
      </c>
      <c r="B36" s="100"/>
      <c r="C36" s="99"/>
      <c r="D36" s="214"/>
      <c r="E36" s="310">
        <f>E16-E34</f>
        <v>-121229</v>
      </c>
      <c r="F36" s="127">
        <f>F16-F34</f>
        <v>84321</v>
      </c>
    </row>
    <row r="37" spans="1:15" s="13" customFormat="1" ht="15">
      <c r="A37" s="99"/>
      <c r="B37" s="100"/>
      <c r="C37" s="99"/>
      <c r="D37" s="214"/>
      <c r="E37" s="126"/>
      <c r="F37" s="126"/>
      <c r="I37" s="19"/>
      <c r="J37" s="20"/>
    </row>
    <row r="38" spans="1:15" s="13" customFormat="1" ht="15.75">
      <c r="A38" s="16" t="s">
        <v>3</v>
      </c>
      <c r="B38" s="100"/>
      <c r="C38" s="99"/>
      <c r="D38" s="214"/>
      <c r="E38" s="126"/>
      <c r="F38" s="126"/>
    </row>
    <row r="39" spans="1:15" s="13" customFormat="1" ht="15">
      <c r="A39" s="99" t="s">
        <v>161</v>
      </c>
      <c r="B39" s="100" t="s">
        <v>33</v>
      </c>
      <c r="C39" s="99"/>
      <c r="D39" s="219"/>
      <c r="E39" s="128">
        <f>ROUNDUP('Line Item Notes'!G30,0)</f>
        <v>930</v>
      </c>
      <c r="F39" s="128">
        <f>ROUNDUP('Line Item Notes'!H30,0)</f>
        <v>805</v>
      </c>
    </row>
    <row r="40" spans="1:15" s="13" customFormat="1" ht="15">
      <c r="A40" s="99" t="s">
        <v>72</v>
      </c>
      <c r="B40" s="100" t="s">
        <v>125</v>
      </c>
      <c r="C40" s="104">
        <v>1</v>
      </c>
      <c r="D40" s="217">
        <v>750</v>
      </c>
      <c r="E40" s="126">
        <f>ROUNDUP(C40*D40,0)</f>
        <v>750</v>
      </c>
      <c r="F40" s="126">
        <f>ROUNDUP(C40*D40,0)</f>
        <v>750</v>
      </c>
      <c r="G40" s="21"/>
      <c r="J40" s="21"/>
      <c r="L40" s="22"/>
      <c r="M40" s="22"/>
      <c r="N40" s="21"/>
    </row>
    <row r="41" spans="1:15" s="13" customFormat="1" ht="15">
      <c r="A41" s="99" t="s">
        <v>73</v>
      </c>
      <c r="B41" s="100" t="s">
        <v>125</v>
      </c>
      <c r="C41" s="104">
        <v>1</v>
      </c>
      <c r="D41" s="208">
        <v>400</v>
      </c>
      <c r="E41" s="126">
        <f t="shared" ref="E41:E46" si="0">C41*D41</f>
        <v>400</v>
      </c>
      <c r="F41" s="126">
        <f t="shared" ref="F41:F46" si="1">C41*D41</f>
        <v>400</v>
      </c>
      <c r="G41" s="23"/>
      <c r="H41" s="24"/>
      <c r="I41" s="25"/>
      <c r="J41" s="23"/>
      <c r="K41" s="24"/>
      <c r="L41" s="26"/>
      <c r="M41" s="26"/>
      <c r="N41" s="26"/>
      <c r="O41" s="24"/>
    </row>
    <row r="42" spans="1:15" s="13" customFormat="1" ht="30">
      <c r="A42" s="99" t="s">
        <v>74</v>
      </c>
      <c r="B42" s="63" t="s">
        <v>126</v>
      </c>
      <c r="C42" s="105">
        <f>F16/1000</f>
        <v>250</v>
      </c>
      <c r="D42" s="217">
        <v>4</v>
      </c>
      <c r="E42" s="126">
        <f t="shared" si="0"/>
        <v>1000</v>
      </c>
      <c r="F42" s="126">
        <f t="shared" si="1"/>
        <v>1000</v>
      </c>
      <c r="G42" s="23"/>
      <c r="H42" s="24"/>
      <c r="I42" s="25"/>
      <c r="J42" s="23"/>
      <c r="K42" s="24"/>
      <c r="L42" s="26"/>
      <c r="M42" s="26"/>
      <c r="N42" s="26"/>
      <c r="O42" s="24"/>
    </row>
    <row r="43" spans="1:15" s="13" customFormat="1" ht="15">
      <c r="A43" s="302" t="s">
        <v>197</v>
      </c>
      <c r="B43" s="100" t="s">
        <v>124</v>
      </c>
      <c r="C43" s="104">
        <v>1</v>
      </c>
      <c r="D43" s="217">
        <v>1500</v>
      </c>
      <c r="E43" s="126">
        <f t="shared" si="0"/>
        <v>1500</v>
      </c>
      <c r="F43" s="126"/>
      <c r="G43" s="22"/>
    </row>
    <row r="44" spans="1:15" s="13" customFormat="1" ht="15">
      <c r="A44" s="99" t="s">
        <v>75</v>
      </c>
      <c r="B44" s="100" t="s">
        <v>125</v>
      </c>
      <c r="C44" s="104">
        <v>1</v>
      </c>
      <c r="D44" s="208">
        <v>50</v>
      </c>
      <c r="E44" s="126">
        <f t="shared" si="0"/>
        <v>50</v>
      </c>
      <c r="F44" s="126">
        <f t="shared" si="1"/>
        <v>50</v>
      </c>
      <c r="K44" s="27"/>
      <c r="L44" s="27"/>
    </row>
    <row r="45" spans="1:15" s="13" customFormat="1" ht="15">
      <c r="A45" s="302" t="s">
        <v>76</v>
      </c>
      <c r="B45" s="100" t="s">
        <v>127</v>
      </c>
      <c r="C45" s="104">
        <v>1</v>
      </c>
      <c r="D45" s="220">
        <v>1000</v>
      </c>
      <c r="E45" s="126">
        <f t="shared" si="0"/>
        <v>1000</v>
      </c>
      <c r="F45" s="126">
        <f t="shared" si="1"/>
        <v>1000</v>
      </c>
    </row>
    <row r="46" spans="1:15" s="13" customFormat="1" ht="15">
      <c r="A46" s="99" t="s">
        <v>77</v>
      </c>
      <c r="B46" s="100" t="s">
        <v>125</v>
      </c>
      <c r="C46" s="104">
        <v>1</v>
      </c>
      <c r="D46" s="218">
        <v>400</v>
      </c>
      <c r="E46" s="126">
        <f t="shared" si="0"/>
        <v>400</v>
      </c>
      <c r="F46" s="126">
        <f t="shared" si="1"/>
        <v>400</v>
      </c>
    </row>
    <row r="47" spans="1:15" s="28" customFormat="1" ht="15.75">
      <c r="A47" s="16" t="s">
        <v>78</v>
      </c>
      <c r="B47" s="34"/>
      <c r="C47" s="16"/>
      <c r="D47" s="221"/>
      <c r="E47" s="127"/>
      <c r="F47" s="127"/>
    </row>
    <row r="48" spans="1:15" s="13" customFormat="1" ht="15">
      <c r="A48" s="99" t="s">
        <v>79</v>
      </c>
      <c r="B48" s="100" t="s">
        <v>128</v>
      </c>
      <c r="C48" s="135">
        <f>'Line Item Notes'!G33</f>
        <v>1</v>
      </c>
      <c r="D48" s="222">
        <f>'Line Item Notes'!$F$33</f>
        <v>3700</v>
      </c>
      <c r="E48" s="126">
        <f t="shared" ref="E48:E57" si="2">C48*D48</f>
        <v>3700</v>
      </c>
      <c r="F48" s="126">
        <f t="shared" ref="F48:F57" si="3">C48*D48</f>
        <v>3700</v>
      </c>
    </row>
    <row r="49" spans="1:6" s="13" customFormat="1" ht="15">
      <c r="A49" s="99" t="s">
        <v>5</v>
      </c>
      <c r="B49" s="100" t="s">
        <v>128</v>
      </c>
      <c r="C49" s="135">
        <f>'Line Item Notes'!G34</f>
        <v>1</v>
      </c>
      <c r="D49" s="214">
        <f>'Line Item Notes'!$F$34</f>
        <v>8000</v>
      </c>
      <c r="E49" s="126">
        <f t="shared" si="2"/>
        <v>8000</v>
      </c>
      <c r="F49" s="126">
        <f t="shared" si="3"/>
        <v>8000</v>
      </c>
    </row>
    <row r="50" spans="1:6" s="13" customFormat="1" ht="15">
      <c r="A50" s="17" t="s">
        <v>80</v>
      </c>
      <c r="B50" s="100" t="s">
        <v>128</v>
      </c>
      <c r="C50" s="135">
        <f>'Line Item Notes'!G35</f>
        <v>166.8</v>
      </c>
      <c r="D50" s="219">
        <f>'Line Item Notes'!F35</f>
        <v>21.142857142857142</v>
      </c>
      <c r="E50" s="128">
        <f>ROUNDUP(C50*D50,0)</f>
        <v>3527</v>
      </c>
      <c r="F50" s="128">
        <f>ROUNDUP(C50*D50,0)</f>
        <v>3527</v>
      </c>
    </row>
    <row r="51" spans="1:6" s="13" customFormat="1" ht="15">
      <c r="A51" s="17" t="s">
        <v>81</v>
      </c>
      <c r="B51" s="100" t="s">
        <v>128</v>
      </c>
      <c r="C51" s="135">
        <f>'Line Item Notes'!G36</f>
        <v>667.2</v>
      </c>
      <c r="D51" s="219">
        <f>'Line Item Notes'!F36</f>
        <v>19.285714285714285</v>
      </c>
      <c r="E51" s="128">
        <f>ROUNDUP(C51*D51,0)</f>
        <v>12868</v>
      </c>
      <c r="F51" s="128">
        <f>ROUNDUP(C51*D51,0)</f>
        <v>12868</v>
      </c>
    </row>
    <row r="52" spans="1:6" s="13" customFormat="1" ht="15">
      <c r="A52" s="39" t="s">
        <v>82</v>
      </c>
      <c r="B52" s="116" t="s">
        <v>128</v>
      </c>
      <c r="C52" s="135">
        <f>'Line Item Notes'!G37</f>
        <v>2000</v>
      </c>
      <c r="D52" s="219">
        <f>'Line Item Notes'!F37</f>
        <v>0.9</v>
      </c>
      <c r="E52" s="128">
        <f>ROUNDUP(C52*D52,0)</f>
        <v>1800</v>
      </c>
      <c r="F52" s="128">
        <f>ROUNDUP(C52*D52,0)</f>
        <v>1800</v>
      </c>
    </row>
    <row r="53" spans="1:6" s="13" customFormat="1" ht="15">
      <c r="A53" s="39" t="s">
        <v>83</v>
      </c>
      <c r="B53" s="116" t="s">
        <v>128</v>
      </c>
      <c r="C53" s="135">
        <f>'Line Item Notes'!G38</f>
        <v>3333.3333333333335</v>
      </c>
      <c r="D53" s="219">
        <f>'Line Item Notes'!F38</f>
        <v>0.9</v>
      </c>
      <c r="E53" s="128">
        <f>ROUNDUP(C53*D53,0)</f>
        <v>3000</v>
      </c>
      <c r="F53" s="128">
        <f>ROUNDUP(C53*D53,0)</f>
        <v>3000</v>
      </c>
    </row>
    <row r="54" spans="1:6" s="13" customFormat="1" ht="15">
      <c r="A54" s="99" t="s">
        <v>84</v>
      </c>
      <c r="B54" s="100" t="s">
        <v>128</v>
      </c>
      <c r="C54" s="135">
        <f>'Line Item Notes'!G39</f>
        <v>0</v>
      </c>
      <c r="D54" s="207">
        <f>'Line Item Notes'!$F$39</f>
        <v>1814.2857142857142</v>
      </c>
      <c r="E54" s="128">
        <f t="shared" si="2"/>
        <v>0</v>
      </c>
      <c r="F54" s="128">
        <f t="shared" si="3"/>
        <v>0</v>
      </c>
    </row>
    <row r="55" spans="1:6" s="13" customFormat="1" ht="15">
      <c r="A55" s="17" t="s">
        <v>85</v>
      </c>
      <c r="B55" s="100" t="s">
        <v>128</v>
      </c>
      <c r="C55" s="135">
        <f>'Line Item Notes'!G40</f>
        <v>1</v>
      </c>
      <c r="D55" s="207">
        <f>'Line Item Notes'!F40</f>
        <v>1750.6349999999998</v>
      </c>
      <c r="E55" s="129">
        <f t="shared" si="2"/>
        <v>1750.6349999999998</v>
      </c>
      <c r="F55" s="129">
        <f t="shared" si="3"/>
        <v>1750.6349999999998</v>
      </c>
    </row>
    <row r="56" spans="1:6" s="13" customFormat="1" ht="15">
      <c r="A56" s="99" t="s">
        <v>86</v>
      </c>
      <c r="B56" s="100" t="s">
        <v>128</v>
      </c>
      <c r="C56" s="135">
        <f>'Line Item Notes'!G41</f>
        <v>1</v>
      </c>
      <c r="D56" s="207">
        <f>'Line Item Notes'!F41</f>
        <v>1062.5</v>
      </c>
      <c r="E56" s="129">
        <f t="shared" si="2"/>
        <v>1062.5</v>
      </c>
      <c r="F56" s="129">
        <f t="shared" si="3"/>
        <v>1062.5</v>
      </c>
    </row>
    <row r="57" spans="1:6" s="13" customFormat="1" ht="15">
      <c r="A57" s="99" t="s">
        <v>87</v>
      </c>
      <c r="B57" s="100" t="s">
        <v>128</v>
      </c>
      <c r="C57" s="135">
        <f>'Line Item Notes'!G42</f>
        <v>1</v>
      </c>
      <c r="D57" s="207">
        <f>'Line Item Notes'!F42</f>
        <v>1300</v>
      </c>
      <c r="E57" s="129">
        <f t="shared" si="2"/>
        <v>1300</v>
      </c>
      <c r="F57" s="129">
        <f t="shared" si="3"/>
        <v>1300</v>
      </c>
    </row>
    <row r="58" spans="1:6" s="13" customFormat="1" ht="15">
      <c r="A58" s="99"/>
      <c r="B58" s="100"/>
      <c r="C58" s="99"/>
      <c r="D58" s="207"/>
      <c r="E58" s="130"/>
      <c r="F58" s="130"/>
    </row>
    <row r="59" spans="1:6" s="13" customFormat="1" ht="15.75">
      <c r="A59" s="290" t="s">
        <v>191</v>
      </c>
      <c r="B59" s="100"/>
      <c r="C59" s="99"/>
      <c r="D59" s="207"/>
      <c r="E59" s="131">
        <f>SUM(E39:E57)</f>
        <v>43038.135000000002</v>
      </c>
      <c r="F59" s="131">
        <f>SUM(F39:F57)</f>
        <v>41413.135000000002</v>
      </c>
    </row>
    <row r="60" spans="1:6" s="13" customFormat="1" ht="15">
      <c r="A60" s="99"/>
      <c r="B60" s="100"/>
      <c r="C60" s="99"/>
      <c r="D60" s="214"/>
      <c r="E60" s="125"/>
      <c r="F60" s="125"/>
    </row>
    <row r="61" spans="1:6" s="13" customFormat="1" ht="15.75">
      <c r="A61" s="16" t="s">
        <v>88</v>
      </c>
      <c r="B61" s="100"/>
      <c r="C61" s="99"/>
      <c r="D61" s="214"/>
      <c r="E61" s="125"/>
      <c r="F61" s="125"/>
    </row>
    <row r="62" spans="1:6" s="13" customFormat="1" ht="15.75">
      <c r="A62" s="16" t="s">
        <v>162</v>
      </c>
      <c r="B62" s="100"/>
      <c r="C62" s="99"/>
      <c r="D62" s="214"/>
      <c r="E62" s="125"/>
      <c r="F62" s="125"/>
    </row>
    <row r="63" spans="1:6" s="13" customFormat="1" ht="15">
      <c r="A63" s="99" t="s">
        <v>89</v>
      </c>
      <c r="B63" s="100"/>
      <c r="C63" s="104">
        <v>1</v>
      </c>
      <c r="D63" s="208">
        <v>25</v>
      </c>
      <c r="E63" s="125">
        <f>C63*D63</f>
        <v>25</v>
      </c>
      <c r="F63" s="125">
        <v>0</v>
      </c>
    </row>
    <row r="64" spans="1:6" s="13" customFormat="1" ht="15">
      <c r="A64" s="99" t="s">
        <v>90</v>
      </c>
      <c r="B64" s="100"/>
      <c r="C64" s="104">
        <v>1</v>
      </c>
      <c r="D64" s="208" t="s">
        <v>164</v>
      </c>
      <c r="E64" s="132">
        <v>35</v>
      </c>
      <c r="F64" s="125">
        <v>0</v>
      </c>
    </row>
    <row r="65" spans="1:6" s="13" customFormat="1" ht="15">
      <c r="A65" s="99" t="s">
        <v>182</v>
      </c>
      <c r="B65" s="100"/>
      <c r="C65" s="104">
        <v>1</v>
      </c>
      <c r="D65" s="208">
        <v>510</v>
      </c>
      <c r="E65" s="125">
        <f>C65*D65</f>
        <v>510</v>
      </c>
      <c r="F65" s="125">
        <v>0</v>
      </c>
    </row>
    <row r="66" spans="1:6" s="13" customFormat="1" ht="15">
      <c r="A66" s="99" t="s">
        <v>91</v>
      </c>
      <c r="B66" s="100"/>
      <c r="C66" s="104">
        <v>1</v>
      </c>
      <c r="D66" s="208">
        <v>75</v>
      </c>
      <c r="E66" s="132">
        <v>0</v>
      </c>
      <c r="F66" s="132">
        <v>0</v>
      </c>
    </row>
    <row r="67" spans="1:6" s="13" customFormat="1" ht="15">
      <c r="A67" s="99" t="s">
        <v>92</v>
      </c>
      <c r="B67" s="100"/>
      <c r="C67" s="104">
        <v>1</v>
      </c>
      <c r="D67" s="208">
        <v>12</v>
      </c>
      <c r="E67" s="132">
        <v>0</v>
      </c>
      <c r="F67" s="132">
        <v>0</v>
      </c>
    </row>
    <row r="68" spans="1:6" s="13" customFormat="1" ht="15">
      <c r="A68" s="99" t="s">
        <v>93</v>
      </c>
      <c r="B68" s="100"/>
      <c r="C68" s="104">
        <v>1</v>
      </c>
      <c r="D68" s="208">
        <v>1.5</v>
      </c>
      <c r="E68" s="132">
        <v>0</v>
      </c>
      <c r="F68" s="132">
        <v>0</v>
      </c>
    </row>
    <row r="69" spans="1:6" s="13" customFormat="1" ht="15.75">
      <c r="A69" s="99" t="s">
        <v>94</v>
      </c>
      <c r="B69" s="100"/>
      <c r="C69" s="108">
        <f>F9*2/100000</f>
        <v>40</v>
      </c>
      <c r="D69" s="223">
        <v>1.5</v>
      </c>
      <c r="E69" s="125">
        <f>C69*$D$69</f>
        <v>60</v>
      </c>
      <c r="F69" s="125">
        <f>C69*$D$69</f>
        <v>60</v>
      </c>
    </row>
    <row r="70" spans="1:6" s="13" customFormat="1" ht="15.75">
      <c r="A70" s="16" t="s">
        <v>163</v>
      </c>
      <c r="B70" s="100"/>
      <c r="C70" s="104"/>
      <c r="D70" s="208"/>
      <c r="E70" s="125"/>
      <c r="F70" s="125"/>
    </row>
    <row r="71" spans="1:6" s="13" customFormat="1" ht="15">
      <c r="A71" s="99" t="s">
        <v>95</v>
      </c>
      <c r="B71" s="100" t="s">
        <v>129</v>
      </c>
      <c r="C71" s="104">
        <v>1</v>
      </c>
      <c r="D71" s="208">
        <v>190</v>
      </c>
      <c r="E71" s="125">
        <f>C71*D71</f>
        <v>190</v>
      </c>
      <c r="F71" s="125">
        <f>C71*D71</f>
        <v>190</v>
      </c>
    </row>
    <row r="72" spans="1:6" s="13" customFormat="1" ht="15">
      <c r="A72" s="99" t="s">
        <v>96</v>
      </c>
      <c r="B72" s="100" t="s">
        <v>129</v>
      </c>
      <c r="C72" s="104">
        <v>1</v>
      </c>
      <c r="D72" s="223">
        <v>10</v>
      </c>
      <c r="E72" s="125">
        <f>C72*D72</f>
        <v>10</v>
      </c>
      <c r="F72" s="125">
        <f>C72*D72</f>
        <v>10</v>
      </c>
    </row>
    <row r="73" spans="1:6" s="13" customFormat="1" ht="15.75">
      <c r="A73" s="99" t="s">
        <v>97</v>
      </c>
      <c r="B73" s="173" t="s">
        <v>130</v>
      </c>
      <c r="C73" s="108">
        <v>5</v>
      </c>
      <c r="D73" s="224">
        <v>5</v>
      </c>
      <c r="E73" s="126">
        <f>D73*C73</f>
        <v>25</v>
      </c>
      <c r="F73" s="126">
        <f>C73*D73</f>
        <v>25</v>
      </c>
    </row>
    <row r="74" spans="1:6" s="13" customFormat="1" ht="15">
      <c r="A74" s="17" t="s">
        <v>98</v>
      </c>
      <c r="B74" s="100"/>
      <c r="C74" s="104">
        <v>1</v>
      </c>
      <c r="D74" s="209">
        <v>25</v>
      </c>
      <c r="E74" s="126">
        <f>C74*D74</f>
        <v>25</v>
      </c>
      <c r="F74" s="125">
        <v>0</v>
      </c>
    </row>
    <row r="75" spans="1:6" s="13" customFormat="1" ht="15">
      <c r="A75" s="40"/>
      <c r="B75" s="41"/>
      <c r="C75" s="104"/>
      <c r="D75" s="214"/>
      <c r="E75" s="133"/>
      <c r="F75" s="125"/>
    </row>
    <row r="76" spans="1:6" s="13" customFormat="1" ht="15.75">
      <c r="A76" s="137" t="s">
        <v>1</v>
      </c>
      <c r="B76" s="100"/>
      <c r="C76" s="99"/>
      <c r="D76" s="214"/>
      <c r="E76" s="124">
        <f>SUM(E63:E74)</f>
        <v>880</v>
      </c>
      <c r="F76" s="124">
        <f>SUM(F63:F74)</f>
        <v>285</v>
      </c>
    </row>
    <row r="77" spans="1:6" s="13" customFormat="1" ht="15">
      <c r="A77" s="99"/>
      <c r="B77" s="100"/>
      <c r="C77" s="99"/>
      <c r="D77" s="214"/>
      <c r="E77" s="125"/>
      <c r="F77" s="125"/>
    </row>
    <row r="78" spans="1:6" s="13" customFormat="1" ht="15.75">
      <c r="A78" s="290" t="s">
        <v>190</v>
      </c>
      <c r="B78" s="100"/>
      <c r="C78" s="99"/>
      <c r="D78" s="207"/>
      <c r="E78" s="131">
        <f>E34+E59+E76</f>
        <v>215147.13500000001</v>
      </c>
      <c r="F78" s="131">
        <f>F34+F59+F76</f>
        <v>207377.13500000001</v>
      </c>
    </row>
    <row r="79" spans="1:6" s="13" customFormat="1" ht="15">
      <c r="A79" s="99"/>
      <c r="B79" s="100"/>
      <c r="C79" s="99"/>
      <c r="D79" s="214"/>
      <c r="E79" s="125"/>
      <c r="F79" s="125"/>
    </row>
    <row r="80" spans="1:6" s="13" customFormat="1" ht="15.75">
      <c r="A80" s="16" t="s">
        <v>99</v>
      </c>
      <c r="B80" s="100"/>
      <c r="C80" s="99"/>
      <c r="D80" s="214"/>
      <c r="E80" s="310">
        <f>E16-E78</f>
        <v>-165147.13500000001</v>
      </c>
      <c r="F80" s="124">
        <f>F16-F78</f>
        <v>42622.864999999991</v>
      </c>
    </row>
    <row r="81" spans="1:9" s="13" customFormat="1" ht="50.1" customHeight="1">
      <c r="A81" s="325" t="s">
        <v>102</v>
      </c>
      <c r="B81" s="326"/>
      <c r="C81" s="326"/>
      <c r="D81" s="326"/>
      <c r="E81" s="326"/>
      <c r="F81" s="327"/>
    </row>
    <row r="82" spans="1:9" ht="15.95" customHeight="1">
      <c r="A82" s="328" t="s">
        <v>183</v>
      </c>
      <c r="B82" s="329"/>
      <c r="C82" s="329"/>
      <c r="D82" s="329"/>
      <c r="E82" s="329"/>
      <c r="F82" s="329"/>
    </row>
    <row r="83" spans="1:9" ht="35.1" customHeight="1">
      <c r="A83" s="330"/>
      <c r="B83" s="330"/>
      <c r="C83" s="330"/>
      <c r="D83" s="330"/>
      <c r="E83" s="330"/>
      <c r="F83" s="330"/>
    </row>
    <row r="84" spans="1:9" ht="24" customHeight="1">
      <c r="A84" s="344" t="s">
        <v>100</v>
      </c>
      <c r="B84" s="344"/>
      <c r="C84" s="344"/>
      <c r="D84" s="344"/>
      <c r="E84" s="344"/>
      <c r="F84" s="344"/>
      <c r="G84" s="44"/>
      <c r="H84" s="44"/>
      <c r="I84" s="44"/>
    </row>
    <row r="85" spans="1:9" ht="24" customHeight="1">
      <c r="A85" s="138" t="s">
        <v>101</v>
      </c>
      <c r="B85" s="324" t="s">
        <v>4</v>
      </c>
      <c r="C85" s="324"/>
      <c r="D85" s="324"/>
      <c r="E85" s="324"/>
      <c r="F85" s="324"/>
      <c r="G85" s="44"/>
      <c r="H85" s="44"/>
      <c r="I85" s="44"/>
    </row>
    <row r="86" spans="1:9" ht="15">
      <c r="A86" s="120">
        <f>F80</f>
        <v>42622.864999999991</v>
      </c>
      <c r="B86" s="121">
        <v>0.3</v>
      </c>
      <c r="C86" s="121">
        <f>B86+0.05</f>
        <v>0.35</v>
      </c>
      <c r="D86" s="300">
        <f>C86+0.05</f>
        <v>0.39999999999999997</v>
      </c>
      <c r="E86" s="121">
        <f>D86+0.05</f>
        <v>0.44999999999999996</v>
      </c>
      <c r="F86" s="121">
        <f>E86+0.05</f>
        <v>0.49999999999999994</v>
      </c>
      <c r="G86" s="44"/>
      <c r="H86" s="44"/>
      <c r="I86" s="44"/>
    </row>
    <row r="87" spans="1:9" ht="15">
      <c r="A87" s="285">
        <v>0.1</v>
      </c>
      <c r="B87" s="311">
        <f t="dataTable" ref="B87:F107" dt2D="1" dtr="0" r1="B10" r2="B9"/>
        <v>-82386.005000000005</v>
      </c>
      <c r="C87" s="311">
        <v>-102661.30500000002</v>
      </c>
      <c r="D87" s="312">
        <v>-103804.14500000002</v>
      </c>
      <c r="E87" s="311">
        <v>-105161.70500000002</v>
      </c>
      <c r="F87" s="311">
        <v>-106777.13500000001</v>
      </c>
      <c r="G87" s="44"/>
      <c r="H87" s="44"/>
      <c r="I87" s="44"/>
    </row>
    <row r="88" spans="1:9" ht="15">
      <c r="A88" s="285">
        <f t="shared" ref="A88:A107" si="4">A87+0.01</f>
        <v>0.11</v>
      </c>
      <c r="B88" s="311">
        <v>-72426.005000000005</v>
      </c>
      <c r="C88" s="311">
        <v>-92701.305000000022</v>
      </c>
      <c r="D88" s="312">
        <v>-93844.145000000019</v>
      </c>
      <c r="E88" s="311">
        <v>-95201.705000000016</v>
      </c>
      <c r="F88" s="311">
        <v>-96817.135000000009</v>
      </c>
      <c r="G88" s="44"/>
      <c r="H88" s="44"/>
      <c r="I88" s="44"/>
    </row>
    <row r="89" spans="1:9" ht="15">
      <c r="A89" s="285">
        <f t="shared" si="4"/>
        <v>0.12</v>
      </c>
      <c r="B89" s="311">
        <v>-62466.005000000005</v>
      </c>
      <c r="C89" s="311">
        <v>-82741.305000000022</v>
      </c>
      <c r="D89" s="312">
        <v>-83884.145000000019</v>
      </c>
      <c r="E89" s="311">
        <v>-85241.705000000016</v>
      </c>
      <c r="F89" s="311">
        <v>-86857.135000000009</v>
      </c>
      <c r="G89" s="44"/>
      <c r="H89" s="44"/>
      <c r="I89" s="44"/>
    </row>
    <row r="90" spans="1:9" ht="15">
      <c r="A90" s="285">
        <f t="shared" si="4"/>
        <v>0.13</v>
      </c>
      <c r="B90" s="311">
        <v>-52506.005000000005</v>
      </c>
      <c r="C90" s="311">
        <v>-72781.305000000022</v>
      </c>
      <c r="D90" s="312">
        <v>-73924.145000000019</v>
      </c>
      <c r="E90" s="311">
        <v>-75281.705000000016</v>
      </c>
      <c r="F90" s="311">
        <v>-76897.135000000009</v>
      </c>
      <c r="G90" s="44"/>
      <c r="H90" s="44"/>
      <c r="I90" s="44"/>
    </row>
    <row r="91" spans="1:9" ht="15">
      <c r="A91" s="285">
        <f t="shared" si="4"/>
        <v>0.14000000000000001</v>
      </c>
      <c r="B91" s="311">
        <v>-42546.005000000005</v>
      </c>
      <c r="C91" s="311">
        <v>-62821.305000000022</v>
      </c>
      <c r="D91" s="312">
        <v>-63964.145000000019</v>
      </c>
      <c r="E91" s="311">
        <v>-65321.705000000016</v>
      </c>
      <c r="F91" s="311">
        <v>-66937.135000000009</v>
      </c>
      <c r="G91" s="44"/>
      <c r="H91" s="44"/>
      <c r="I91" s="44"/>
    </row>
    <row r="92" spans="1:9" ht="15">
      <c r="A92" s="285">
        <f t="shared" si="4"/>
        <v>0.15000000000000002</v>
      </c>
      <c r="B92" s="311">
        <v>-32586.004999999976</v>
      </c>
      <c r="C92" s="311">
        <v>-52861.304999999993</v>
      </c>
      <c r="D92" s="312">
        <v>-54004.14499999999</v>
      </c>
      <c r="E92" s="311">
        <v>-55361.704999999987</v>
      </c>
      <c r="F92" s="311">
        <v>-56977.13499999998</v>
      </c>
      <c r="G92" s="44"/>
      <c r="H92" s="44"/>
      <c r="I92" s="44"/>
    </row>
    <row r="93" spans="1:9" ht="15">
      <c r="A93" s="285">
        <f t="shared" si="4"/>
        <v>0.16000000000000003</v>
      </c>
      <c r="B93" s="311">
        <v>-22626.004999999976</v>
      </c>
      <c r="C93" s="311">
        <v>-42901.304999999993</v>
      </c>
      <c r="D93" s="312">
        <v>-44044.14499999999</v>
      </c>
      <c r="E93" s="311">
        <v>-45401.704999999987</v>
      </c>
      <c r="F93" s="311">
        <v>-47017.13499999998</v>
      </c>
      <c r="G93" s="44"/>
      <c r="H93" s="44"/>
      <c r="I93" s="44"/>
    </row>
    <row r="94" spans="1:9" ht="15">
      <c r="A94" s="285">
        <f t="shared" si="4"/>
        <v>0.17000000000000004</v>
      </c>
      <c r="B94" s="311">
        <v>-12666.004999999976</v>
      </c>
      <c r="C94" s="311">
        <v>-32941.304999999993</v>
      </c>
      <c r="D94" s="312">
        <v>-34084.14499999999</v>
      </c>
      <c r="E94" s="311">
        <v>-35441.704999999987</v>
      </c>
      <c r="F94" s="311">
        <v>-37057.13499999998</v>
      </c>
      <c r="G94" s="44"/>
      <c r="H94" s="44"/>
      <c r="I94" s="44"/>
    </row>
    <row r="95" spans="1:9" ht="15">
      <c r="A95" s="285">
        <f t="shared" si="4"/>
        <v>0.18000000000000005</v>
      </c>
      <c r="B95" s="311">
        <v>-2706.0049999999464</v>
      </c>
      <c r="C95" s="311">
        <v>-22981.304999999964</v>
      </c>
      <c r="D95" s="312">
        <v>-24124.14499999996</v>
      </c>
      <c r="E95" s="311">
        <v>-25481.704999999958</v>
      </c>
      <c r="F95" s="311">
        <v>-27097.134999999951</v>
      </c>
      <c r="G95" s="44"/>
      <c r="H95" s="44"/>
      <c r="I95" s="44"/>
    </row>
    <row r="96" spans="1:9" ht="15">
      <c r="A96" s="285">
        <f t="shared" si="4"/>
        <v>0.19000000000000006</v>
      </c>
      <c r="B96" s="291">
        <v>7253.9950000000536</v>
      </c>
      <c r="C96" s="311">
        <v>-13021.304999999964</v>
      </c>
      <c r="D96" s="312">
        <v>-14164.14499999996</v>
      </c>
      <c r="E96" s="311">
        <v>-15521.704999999958</v>
      </c>
      <c r="F96" s="311">
        <v>-17137.134999999951</v>
      </c>
      <c r="G96" s="44"/>
      <c r="H96" s="44"/>
      <c r="I96" s="44"/>
    </row>
    <row r="97" spans="1:9" ht="15">
      <c r="A97" s="285">
        <f t="shared" si="4"/>
        <v>0.20000000000000007</v>
      </c>
      <c r="B97" s="291">
        <v>17213.995000000054</v>
      </c>
      <c r="C97" s="311">
        <v>-3061.3049999999639</v>
      </c>
      <c r="D97" s="312">
        <v>-4204.1449999999604</v>
      </c>
      <c r="E97" s="311">
        <v>-5561.7049999999581</v>
      </c>
      <c r="F97" s="311">
        <v>-7177.1349999999511</v>
      </c>
      <c r="G97" s="44"/>
      <c r="H97" s="44"/>
      <c r="I97" s="44"/>
    </row>
    <row r="98" spans="1:9" ht="15">
      <c r="A98" s="285">
        <f t="shared" si="4"/>
        <v>0.21000000000000008</v>
      </c>
      <c r="B98" s="291">
        <v>27173.995000000083</v>
      </c>
      <c r="C98" s="291">
        <v>6898.6950000000652</v>
      </c>
      <c r="D98" s="291">
        <v>5755.8550000000687</v>
      </c>
      <c r="E98" s="291">
        <v>4398.295000000071</v>
      </c>
      <c r="F98" s="291">
        <v>2782.865000000078</v>
      </c>
      <c r="G98" s="44"/>
      <c r="H98" s="44"/>
      <c r="I98" s="44"/>
    </row>
    <row r="99" spans="1:9" ht="15">
      <c r="A99" s="285">
        <f t="shared" si="4"/>
        <v>0.22000000000000008</v>
      </c>
      <c r="B99" s="291">
        <v>37133.995000000083</v>
      </c>
      <c r="C99" s="291">
        <v>16858.695000000065</v>
      </c>
      <c r="D99" s="291">
        <v>15715.855000000069</v>
      </c>
      <c r="E99" s="291">
        <v>14358.295000000071</v>
      </c>
      <c r="F99" s="291">
        <v>12742.865000000078</v>
      </c>
      <c r="G99" s="44"/>
      <c r="H99" s="44"/>
      <c r="I99" s="44"/>
    </row>
    <row r="100" spans="1:9" ht="15">
      <c r="A100" s="285">
        <f t="shared" si="4"/>
        <v>0.23000000000000009</v>
      </c>
      <c r="B100" s="291">
        <v>47093.995000000083</v>
      </c>
      <c r="C100" s="291">
        <v>26818.695000000065</v>
      </c>
      <c r="D100" s="291">
        <v>25675.855000000069</v>
      </c>
      <c r="E100" s="291">
        <v>24318.295000000071</v>
      </c>
      <c r="F100" s="291">
        <v>22702.865000000078</v>
      </c>
      <c r="G100" s="44"/>
      <c r="H100" s="44"/>
      <c r="I100" s="44"/>
    </row>
    <row r="101" spans="1:9" ht="15">
      <c r="A101" s="285">
        <f t="shared" si="4"/>
        <v>0.2400000000000001</v>
      </c>
      <c r="B101" s="291">
        <v>57053.995000000112</v>
      </c>
      <c r="C101" s="291">
        <v>36778.695000000094</v>
      </c>
      <c r="D101" s="291">
        <v>35635.855000000098</v>
      </c>
      <c r="E101" s="291">
        <v>34278.2950000001</v>
      </c>
      <c r="F101" s="291">
        <v>32662.865000000107</v>
      </c>
      <c r="G101" s="44"/>
      <c r="H101" s="44"/>
      <c r="I101" s="44"/>
    </row>
    <row r="102" spans="1:9" ht="15">
      <c r="A102" s="285">
        <f t="shared" si="4"/>
        <v>0.25000000000000011</v>
      </c>
      <c r="B102" s="291">
        <v>67013.995000000112</v>
      </c>
      <c r="C102" s="291">
        <v>46738.695000000094</v>
      </c>
      <c r="D102" s="291">
        <v>45595.855000000098</v>
      </c>
      <c r="E102" s="291">
        <v>44238.2950000001</v>
      </c>
      <c r="F102" s="291">
        <v>42622.865000000107</v>
      </c>
      <c r="G102" s="44"/>
      <c r="H102" s="44"/>
      <c r="I102" s="44"/>
    </row>
    <row r="103" spans="1:9" ht="15">
      <c r="A103" s="285">
        <f t="shared" si="4"/>
        <v>0.26000000000000012</v>
      </c>
      <c r="B103" s="291">
        <v>76973.995000000112</v>
      </c>
      <c r="C103" s="291">
        <v>56698.695000000094</v>
      </c>
      <c r="D103" s="291">
        <v>55555.855000000098</v>
      </c>
      <c r="E103" s="291">
        <v>54198.2950000001</v>
      </c>
      <c r="F103" s="291">
        <v>52582.865000000107</v>
      </c>
      <c r="G103" s="44"/>
      <c r="H103" s="44"/>
      <c r="I103" s="44"/>
    </row>
    <row r="104" spans="1:9" ht="15">
      <c r="A104" s="285">
        <f t="shared" si="4"/>
        <v>0.27000000000000013</v>
      </c>
      <c r="B104" s="291">
        <v>86933.995000000112</v>
      </c>
      <c r="C104" s="291">
        <v>66658.695000000094</v>
      </c>
      <c r="D104" s="291">
        <v>65515.855000000098</v>
      </c>
      <c r="E104" s="291">
        <v>64158.2950000001</v>
      </c>
      <c r="F104" s="291">
        <v>62542.865000000107</v>
      </c>
      <c r="G104" s="44"/>
      <c r="H104" s="44"/>
      <c r="I104" s="44"/>
    </row>
    <row r="105" spans="1:9" ht="15">
      <c r="A105" s="285">
        <f t="shared" si="4"/>
        <v>0.28000000000000014</v>
      </c>
      <c r="B105" s="291">
        <v>96893.995000000112</v>
      </c>
      <c r="C105" s="291">
        <v>76618.695000000094</v>
      </c>
      <c r="D105" s="291">
        <v>75475.855000000098</v>
      </c>
      <c r="E105" s="291">
        <v>74118.2950000001</v>
      </c>
      <c r="F105" s="291">
        <v>72502.865000000107</v>
      </c>
      <c r="G105" s="44"/>
      <c r="H105" s="44"/>
      <c r="I105" s="44"/>
    </row>
    <row r="106" spans="1:9" ht="15">
      <c r="A106" s="285">
        <f t="shared" si="4"/>
        <v>0.29000000000000015</v>
      </c>
      <c r="B106" s="291">
        <v>106853.99500000017</v>
      </c>
      <c r="C106" s="291">
        <v>86578.695000000153</v>
      </c>
      <c r="D106" s="291">
        <v>85435.855000000156</v>
      </c>
      <c r="E106" s="291">
        <v>84078.295000000158</v>
      </c>
      <c r="F106" s="291">
        <v>82462.865000000165</v>
      </c>
      <c r="G106" s="44"/>
      <c r="H106" s="44"/>
      <c r="I106" s="44"/>
    </row>
    <row r="107" spans="1:9" ht="15">
      <c r="A107" s="285">
        <f t="shared" si="4"/>
        <v>0.30000000000000016</v>
      </c>
      <c r="B107" s="291">
        <v>116813.99500000017</v>
      </c>
      <c r="C107" s="291">
        <v>96538.695000000153</v>
      </c>
      <c r="D107" s="291">
        <v>95395.855000000156</v>
      </c>
      <c r="E107" s="291">
        <v>94038.295000000158</v>
      </c>
      <c r="F107" s="291">
        <v>92422.865000000165</v>
      </c>
      <c r="G107" s="44"/>
      <c r="H107" s="44"/>
      <c r="I107" s="44"/>
    </row>
    <row r="108" spans="1:9" ht="15">
      <c r="A108" s="43"/>
      <c r="B108" s="46"/>
      <c r="C108" s="46"/>
      <c r="D108" s="210"/>
      <c r="E108" s="46"/>
      <c r="F108" s="46"/>
      <c r="G108" s="44"/>
      <c r="H108" s="44"/>
      <c r="I108" s="44"/>
    </row>
    <row r="109" spans="1:9" ht="15">
      <c r="A109" s="43"/>
      <c r="B109" s="46"/>
      <c r="C109" s="46"/>
      <c r="D109" s="210"/>
      <c r="E109" s="46"/>
      <c r="F109" s="46"/>
      <c r="G109" s="44"/>
      <c r="H109" s="44"/>
      <c r="I109" s="44"/>
    </row>
    <row r="110" spans="1:9" ht="15">
      <c r="A110" s="43"/>
      <c r="B110" s="46"/>
      <c r="C110" s="46"/>
      <c r="D110" s="210"/>
      <c r="E110" s="46"/>
      <c r="F110" s="46"/>
      <c r="G110" s="44"/>
      <c r="H110" s="44"/>
      <c r="I110" s="44"/>
    </row>
    <row r="111" spans="1:9" s="1" customFormat="1" ht="15">
      <c r="A111" s="50"/>
      <c r="B111" s="46"/>
      <c r="C111" s="46"/>
      <c r="D111" s="210"/>
      <c r="E111" s="46"/>
      <c r="F111" s="46"/>
      <c r="G111" s="35"/>
      <c r="H111" s="35"/>
      <c r="I111" s="35"/>
    </row>
    <row r="112" spans="1:9" s="1" customFormat="1" ht="15">
      <c r="A112" s="50"/>
      <c r="B112" s="46"/>
      <c r="C112" s="46"/>
      <c r="D112" s="210"/>
      <c r="E112" s="46"/>
      <c r="F112" s="46"/>
      <c r="G112" s="35"/>
      <c r="H112" s="35"/>
      <c r="I112" s="35"/>
    </row>
    <row r="113" spans="1:12" s="1" customFormat="1" ht="15">
      <c r="A113" s="50"/>
      <c r="B113" s="46"/>
      <c r="C113" s="46"/>
      <c r="D113" s="210"/>
      <c r="E113" s="46"/>
      <c r="F113" s="46"/>
      <c r="G113" s="35"/>
      <c r="H113" s="35"/>
      <c r="I113" s="35"/>
    </row>
    <row r="114" spans="1:12" s="1" customFormat="1">
      <c r="B114" s="3"/>
      <c r="D114" s="213"/>
    </row>
    <row r="115" spans="1:12" s="1" customFormat="1" ht="15">
      <c r="A115" s="50"/>
      <c r="B115" s="35"/>
      <c r="C115" s="35"/>
      <c r="D115" s="211"/>
      <c r="E115" s="35"/>
      <c r="F115" s="35"/>
      <c r="G115" s="35"/>
      <c r="H115" s="35"/>
      <c r="I115" s="35"/>
      <c r="J115" s="35"/>
      <c r="K115" s="35"/>
      <c r="L115" s="35"/>
    </row>
    <row r="116" spans="1:12" s="1" customFormat="1" ht="15">
      <c r="A116" s="50"/>
      <c r="B116" s="50"/>
      <c r="C116" s="35"/>
      <c r="D116" s="211"/>
      <c r="E116" s="35"/>
      <c r="F116" s="35"/>
      <c r="G116" s="35"/>
      <c r="H116" s="35"/>
      <c r="I116" s="35"/>
      <c r="J116" s="35"/>
      <c r="K116" s="35"/>
      <c r="L116" s="35"/>
    </row>
    <row r="117" spans="1:12" s="1" customFormat="1" ht="14.25">
      <c r="A117" s="51"/>
      <c r="B117" s="52"/>
      <c r="C117" s="52"/>
      <c r="D117" s="211"/>
      <c r="E117" s="52"/>
      <c r="F117" s="52"/>
      <c r="G117" s="52"/>
      <c r="H117" s="52"/>
      <c r="I117" s="52"/>
      <c r="J117" s="52"/>
      <c r="K117" s="52"/>
      <c r="L117" s="52"/>
    </row>
    <row r="118" spans="1:12" s="1" customFormat="1" ht="14.25">
      <c r="A118" s="53"/>
      <c r="B118" s="54"/>
      <c r="C118" s="54"/>
      <c r="D118" s="211"/>
      <c r="E118" s="54"/>
      <c r="F118" s="54"/>
      <c r="G118" s="54"/>
      <c r="H118" s="54"/>
      <c r="I118" s="54"/>
      <c r="J118" s="54"/>
      <c r="K118" s="54"/>
      <c r="L118" s="54"/>
    </row>
    <row r="119" spans="1:12" s="1" customFormat="1" ht="14.25">
      <c r="A119" s="53"/>
      <c r="B119" s="54"/>
      <c r="C119" s="54"/>
      <c r="D119" s="211"/>
      <c r="E119" s="54"/>
      <c r="F119" s="54"/>
      <c r="G119" s="54"/>
      <c r="H119" s="54"/>
      <c r="I119" s="54"/>
      <c r="J119" s="54"/>
      <c r="K119" s="54"/>
      <c r="L119" s="54"/>
    </row>
    <row r="120" spans="1:12" s="1" customFormat="1" ht="14.25">
      <c r="A120" s="53"/>
      <c r="B120" s="54"/>
      <c r="C120" s="54"/>
      <c r="D120" s="211"/>
      <c r="E120" s="54"/>
      <c r="F120" s="54"/>
      <c r="G120" s="54"/>
      <c r="H120" s="54"/>
      <c r="I120" s="54"/>
      <c r="J120" s="54"/>
      <c r="K120" s="54"/>
      <c r="L120" s="54"/>
    </row>
    <row r="121" spans="1:12" s="1" customFormat="1" ht="14.25">
      <c r="A121" s="53"/>
      <c r="B121" s="54"/>
      <c r="C121" s="54"/>
      <c r="D121" s="211"/>
      <c r="E121" s="54"/>
      <c r="F121" s="54"/>
      <c r="G121" s="54"/>
      <c r="H121" s="54"/>
      <c r="I121" s="54"/>
      <c r="J121" s="54"/>
      <c r="K121" s="54"/>
      <c r="L121" s="54"/>
    </row>
    <row r="122" spans="1:12" s="1" customFormat="1" ht="14.25">
      <c r="A122" s="53"/>
      <c r="B122" s="54"/>
      <c r="C122" s="54"/>
      <c r="D122" s="211"/>
      <c r="E122" s="54"/>
      <c r="F122" s="54"/>
      <c r="G122" s="54"/>
      <c r="H122" s="54"/>
      <c r="I122" s="54"/>
      <c r="J122" s="54"/>
      <c r="K122" s="54"/>
      <c r="L122" s="54"/>
    </row>
    <row r="123" spans="1:12" s="1" customFormat="1" ht="14.25">
      <c r="A123" s="53"/>
      <c r="B123" s="54"/>
      <c r="C123" s="54"/>
      <c r="D123" s="211"/>
      <c r="E123" s="54"/>
      <c r="F123" s="54"/>
      <c r="G123" s="54"/>
      <c r="H123" s="54"/>
      <c r="I123" s="54"/>
      <c r="J123" s="54"/>
      <c r="K123" s="54"/>
      <c r="L123" s="54"/>
    </row>
    <row r="124" spans="1:12" s="1" customFormat="1" ht="14.25">
      <c r="A124" s="53"/>
      <c r="B124" s="54"/>
      <c r="C124" s="54"/>
      <c r="D124" s="211"/>
      <c r="E124" s="54"/>
      <c r="F124" s="54"/>
      <c r="G124" s="54"/>
      <c r="H124" s="54"/>
      <c r="I124" s="54"/>
      <c r="J124" s="54"/>
      <c r="K124" s="54"/>
      <c r="L124" s="54"/>
    </row>
    <row r="125" spans="1:12" s="1" customFormat="1" ht="14.25">
      <c r="A125" s="53"/>
      <c r="B125" s="54"/>
      <c r="C125" s="54"/>
      <c r="D125" s="211"/>
      <c r="E125" s="54"/>
      <c r="F125" s="54"/>
      <c r="G125" s="54"/>
      <c r="H125" s="54"/>
      <c r="I125" s="54"/>
      <c r="J125" s="54"/>
      <c r="K125" s="54"/>
      <c r="L125" s="54"/>
    </row>
    <row r="126" spans="1:12" s="1" customFormat="1" ht="14.25">
      <c r="A126" s="53"/>
      <c r="B126" s="54"/>
      <c r="C126" s="54"/>
      <c r="D126" s="211"/>
      <c r="E126" s="54"/>
      <c r="F126" s="54"/>
      <c r="G126" s="54"/>
      <c r="H126" s="54"/>
      <c r="I126" s="54"/>
      <c r="J126" s="54"/>
      <c r="K126" s="54"/>
      <c r="L126" s="54"/>
    </row>
    <row r="127" spans="1:12" s="1" customFormat="1" ht="14.25">
      <c r="A127" s="53"/>
      <c r="B127" s="54"/>
      <c r="C127" s="54"/>
      <c r="D127" s="211"/>
      <c r="E127" s="54"/>
      <c r="F127" s="54"/>
      <c r="G127" s="54"/>
      <c r="H127" s="54"/>
      <c r="I127" s="54"/>
      <c r="J127" s="54"/>
      <c r="K127" s="54"/>
      <c r="L127" s="54"/>
    </row>
    <row r="128" spans="1:12" s="1" customFormat="1" ht="14.25">
      <c r="A128" s="53"/>
      <c r="B128" s="54"/>
      <c r="C128" s="54"/>
      <c r="D128" s="211"/>
      <c r="E128" s="54"/>
      <c r="F128" s="54"/>
      <c r="G128" s="54"/>
      <c r="H128" s="54"/>
      <c r="I128" s="54"/>
      <c r="J128" s="54"/>
      <c r="K128" s="54"/>
      <c r="L128" s="54"/>
    </row>
    <row r="129" spans="1:12" s="1" customFormat="1" ht="14.25">
      <c r="A129" s="53"/>
      <c r="B129" s="54"/>
      <c r="C129" s="54"/>
      <c r="D129" s="211"/>
      <c r="E129" s="54"/>
      <c r="F129" s="54"/>
      <c r="G129" s="54"/>
      <c r="H129" s="54"/>
      <c r="I129" s="54"/>
      <c r="J129" s="54"/>
      <c r="K129" s="54"/>
      <c r="L129" s="54"/>
    </row>
    <row r="130" spans="1:12" s="1" customFormat="1" ht="14.25">
      <c r="A130" s="53"/>
      <c r="B130" s="54"/>
      <c r="C130" s="54"/>
      <c r="D130" s="211"/>
      <c r="E130" s="54"/>
      <c r="F130" s="54"/>
      <c r="G130" s="54"/>
      <c r="H130" s="54"/>
      <c r="I130" s="54"/>
      <c r="J130" s="54"/>
      <c r="K130" s="54"/>
      <c r="L130" s="54"/>
    </row>
    <row r="131" spans="1:12" s="1" customFormat="1" ht="14.25">
      <c r="A131" s="53"/>
      <c r="B131" s="54"/>
      <c r="C131" s="54"/>
      <c r="D131" s="211"/>
      <c r="E131" s="54"/>
      <c r="F131" s="54"/>
      <c r="G131" s="54"/>
      <c r="H131" s="54"/>
      <c r="I131" s="54"/>
      <c r="J131" s="54"/>
      <c r="K131" s="54"/>
      <c r="L131" s="54"/>
    </row>
    <row r="132" spans="1:12" s="1" customFormat="1" ht="14.25">
      <c r="A132" s="53"/>
      <c r="B132" s="54"/>
      <c r="C132" s="54"/>
      <c r="D132" s="211"/>
      <c r="E132" s="54"/>
      <c r="F132" s="54"/>
      <c r="G132" s="54"/>
      <c r="H132" s="54"/>
      <c r="I132" s="54"/>
      <c r="J132" s="54"/>
      <c r="K132" s="54"/>
      <c r="L132" s="54"/>
    </row>
    <row r="133" spans="1:12" s="1" customFormat="1" ht="14.25">
      <c r="A133" s="53"/>
      <c r="B133" s="54"/>
      <c r="C133" s="54"/>
      <c r="D133" s="211"/>
      <c r="E133" s="54"/>
      <c r="F133" s="54"/>
      <c r="G133" s="54"/>
      <c r="H133" s="54"/>
      <c r="I133" s="54"/>
      <c r="J133" s="54"/>
      <c r="K133" s="54"/>
      <c r="L133" s="54"/>
    </row>
    <row r="134" spans="1:12" s="1" customFormat="1" ht="14.25">
      <c r="A134" s="53"/>
      <c r="B134" s="54"/>
      <c r="C134" s="54"/>
      <c r="D134" s="211"/>
      <c r="E134" s="54"/>
      <c r="F134" s="54"/>
      <c r="G134" s="54"/>
      <c r="H134" s="54"/>
      <c r="I134" s="54"/>
      <c r="J134" s="54"/>
      <c r="K134" s="54"/>
      <c r="L134" s="54"/>
    </row>
    <row r="135" spans="1:12" s="1" customFormat="1" ht="14.25">
      <c r="A135" s="53"/>
      <c r="B135" s="54"/>
      <c r="C135" s="54"/>
      <c r="D135" s="211"/>
      <c r="E135" s="54"/>
      <c r="F135" s="54"/>
      <c r="G135" s="54"/>
      <c r="H135" s="54"/>
      <c r="I135" s="54"/>
      <c r="J135" s="54"/>
      <c r="K135" s="54"/>
      <c r="L135" s="54"/>
    </row>
    <row r="136" spans="1:12" s="1" customFormat="1" ht="14.25">
      <c r="A136" s="53"/>
      <c r="B136" s="54"/>
      <c r="C136" s="54"/>
      <c r="D136" s="211"/>
      <c r="E136" s="54"/>
      <c r="F136" s="54"/>
      <c r="G136" s="54"/>
      <c r="H136" s="54"/>
      <c r="I136" s="54"/>
      <c r="J136" s="54"/>
      <c r="K136" s="54"/>
      <c r="L136" s="54"/>
    </row>
    <row r="137" spans="1:12" s="1" customFormat="1" ht="14.25">
      <c r="A137" s="53"/>
      <c r="B137" s="54"/>
      <c r="C137" s="54"/>
      <c r="D137" s="211"/>
      <c r="E137" s="54"/>
      <c r="F137" s="54"/>
      <c r="G137" s="54"/>
      <c r="H137" s="54"/>
      <c r="I137" s="54"/>
      <c r="J137" s="54"/>
      <c r="K137" s="54"/>
      <c r="L137" s="54"/>
    </row>
    <row r="138" spans="1:12" s="1" customFormat="1" ht="14.25">
      <c r="A138" s="53"/>
      <c r="B138" s="54"/>
      <c r="C138" s="54"/>
      <c r="D138" s="211"/>
      <c r="E138" s="54"/>
      <c r="F138" s="54"/>
      <c r="G138" s="54"/>
      <c r="H138" s="54"/>
      <c r="I138" s="54"/>
      <c r="J138" s="54"/>
      <c r="K138" s="54"/>
      <c r="L138" s="54"/>
    </row>
    <row r="139" spans="1:12" s="1" customFormat="1" ht="14.25">
      <c r="A139" s="53"/>
      <c r="B139" s="54"/>
      <c r="C139" s="54"/>
      <c r="D139" s="211"/>
      <c r="E139" s="54"/>
      <c r="F139" s="54"/>
      <c r="G139" s="54"/>
      <c r="H139" s="54"/>
      <c r="I139" s="54"/>
      <c r="J139" s="54"/>
      <c r="K139" s="54"/>
      <c r="L139" s="54"/>
    </row>
    <row r="140" spans="1:12" s="1" customFormat="1" ht="14.25">
      <c r="A140" s="53"/>
      <c r="B140" s="54"/>
      <c r="C140" s="54"/>
      <c r="D140" s="211"/>
      <c r="E140" s="54"/>
      <c r="F140" s="54"/>
      <c r="G140" s="54"/>
      <c r="H140" s="54"/>
      <c r="I140" s="54"/>
      <c r="J140" s="54"/>
      <c r="K140" s="54"/>
      <c r="L140" s="54"/>
    </row>
    <row r="141" spans="1:12" s="1" customFormat="1" ht="14.25">
      <c r="A141" s="53"/>
      <c r="B141" s="54"/>
      <c r="C141" s="54"/>
      <c r="D141" s="211"/>
      <c r="E141" s="54"/>
      <c r="F141" s="54"/>
      <c r="G141" s="54"/>
      <c r="H141" s="54"/>
      <c r="I141" s="54"/>
      <c r="J141" s="54"/>
      <c r="K141" s="54"/>
      <c r="L141" s="54"/>
    </row>
    <row r="142" spans="1:12" s="1" customFormat="1" ht="14.25">
      <c r="A142" s="53"/>
      <c r="B142" s="54"/>
      <c r="C142" s="54"/>
      <c r="D142" s="211"/>
      <c r="E142" s="54"/>
      <c r="F142" s="54"/>
      <c r="G142" s="54"/>
      <c r="H142" s="54"/>
      <c r="I142" s="54"/>
      <c r="J142" s="54"/>
      <c r="K142" s="54"/>
      <c r="L142" s="54"/>
    </row>
    <row r="143" spans="1:12" s="1" customFormat="1">
      <c r="B143" s="3"/>
      <c r="D143" s="213"/>
    </row>
    <row r="144" spans="1:12" s="1" customFormat="1">
      <c r="B144" s="3"/>
      <c r="D144" s="213"/>
    </row>
  </sheetData>
  <mergeCells count="14">
    <mergeCell ref="B85:F85"/>
    <mergeCell ref="A81:F81"/>
    <mergeCell ref="A82:F83"/>
    <mergeCell ref="E13:F13"/>
    <mergeCell ref="A2:F2"/>
    <mergeCell ref="A3:F3"/>
    <mergeCell ref="A6:F6"/>
    <mergeCell ref="A5:F5"/>
    <mergeCell ref="D4:F4"/>
    <mergeCell ref="D8:E8"/>
    <mergeCell ref="A84:F84"/>
    <mergeCell ref="D9:E9"/>
    <mergeCell ref="D10:E10"/>
    <mergeCell ref="D11:E11"/>
  </mergeCells>
  <phoneticPr fontId="36" type="noConversion"/>
  <pageMargins left="0.7" right="0.7" top="0.75" bottom="0.75" header="0.3" footer="0.3"/>
  <pageSetup scale="48" orientation="portrait" horizontalDpi="4294967293" verticalDpi="4294967293" r:id="rId1"/>
  <headerFooter>
    <oddHeader>&amp;C&amp;"Arial,Bold"&amp;16&amp;K000000Medium-Scale Cultchless Oyster Crop Budgets: Oyster Crop Budget Worksheet&amp;14_x000D_</oddHeader>
  </headerFooter>
  <rowBreaks count="1" manualBreakCount="1">
    <brk id="80" max="16383" man="1"/>
  </rowBreaks>
  <colBreaks count="1" manualBreakCount="1">
    <brk id="6" max="141" man="1"/>
  </colBreaks>
  <ignoredErrors>
    <ignoredError sqref="F42 E50:F50 E30 E73" formula="1"/>
    <ignoredError sqref="D29:D30 C24:D25 C20:C23 C30 C42" unlockedFormula="1"/>
  </ignoredErrors>
  <drawing r:id="rId2"/>
  <legacyDrawing r:id="rId3"/>
  <extLst>
    <ext xmlns:mx="http://schemas.microsoft.com/office/mac/excel/2008/main" uri="{64002731-A6B0-56B0-2670-7721B7C09600}">
      <mx:PLV Mode="1" OnePage="0" WScale="0"/>
    </ext>
  </extLst>
</worksheet>
</file>

<file path=xl/worksheets/sheet3.xml><?xml version="1.0" encoding="utf-8"?>
<worksheet xmlns="http://schemas.openxmlformats.org/spreadsheetml/2006/main" xmlns:r="http://schemas.openxmlformats.org/officeDocument/2006/relationships">
  <sheetPr enableFormatConditionsCalculation="0">
    <pageSetUpPr fitToPage="1"/>
  </sheetPr>
  <dimension ref="A1:S73"/>
  <sheetViews>
    <sheetView view="pageLayout" zoomScaleNormal="150" workbookViewId="0">
      <selection activeCell="C49" sqref="C49"/>
    </sheetView>
  </sheetViews>
  <sheetFormatPr defaultColWidth="8.85546875" defaultRowHeight="12.75"/>
  <cols>
    <col min="1" max="1" width="29.140625" style="5" customWidth="1"/>
    <col min="2" max="2" width="25.140625" style="5" customWidth="1"/>
    <col min="3" max="3" width="16.7109375" style="7" bestFit="1" customWidth="1"/>
    <col min="4" max="4" width="14.7109375" style="2" customWidth="1"/>
    <col min="5" max="5" width="23" style="171" customWidth="1"/>
    <col min="6" max="7" width="21.85546875" style="2" bestFit="1" customWidth="1"/>
    <col min="8" max="8" width="17.7109375" style="2" customWidth="1"/>
    <col min="9" max="9" width="16.28515625" style="2" customWidth="1"/>
    <col min="10" max="10" width="12.42578125" style="2" customWidth="1"/>
    <col min="11" max="11" width="23.42578125" style="2" bestFit="1" customWidth="1"/>
    <col min="12" max="16384" width="8.85546875" style="2"/>
  </cols>
  <sheetData>
    <row r="1" spans="1:19" ht="19.5" customHeight="1">
      <c r="A1" s="65" t="s">
        <v>165</v>
      </c>
      <c r="B1" s="67"/>
      <c r="C1" s="68"/>
      <c r="D1" s="59"/>
      <c r="E1" s="172"/>
      <c r="F1" s="1"/>
      <c r="G1" s="1"/>
      <c r="H1" s="1"/>
      <c r="I1" s="1"/>
      <c r="J1" s="1"/>
      <c r="K1" s="1"/>
      <c r="L1" s="1"/>
      <c r="M1" s="1"/>
      <c r="N1" s="1"/>
      <c r="O1" s="1"/>
      <c r="P1" s="1"/>
      <c r="Q1" s="1"/>
      <c r="R1" s="1"/>
      <c r="S1" s="1"/>
    </row>
    <row r="2" spans="1:19" s="1" customFormat="1" ht="36">
      <c r="A2" s="154" t="s">
        <v>179</v>
      </c>
      <c r="B2" s="55"/>
      <c r="C2" s="69"/>
      <c r="D2" s="66"/>
      <c r="E2" s="172"/>
    </row>
    <row r="3" spans="1:19" ht="16.5" thickBot="1">
      <c r="A3" s="56"/>
      <c r="B3" s="4"/>
      <c r="C3" s="69"/>
      <c r="D3" s="66"/>
      <c r="E3" s="172"/>
      <c r="H3" s="1"/>
      <c r="I3" s="1"/>
    </row>
    <row r="4" spans="1:19" ht="15.75">
      <c r="A4" s="352" t="s">
        <v>14</v>
      </c>
      <c r="B4" s="204"/>
      <c r="C4" s="351" t="s">
        <v>137</v>
      </c>
      <c r="D4" s="351"/>
      <c r="E4" s="351"/>
      <c r="F4" s="351"/>
      <c r="G4" s="175"/>
      <c r="H4" s="143"/>
      <c r="I4" s="177"/>
      <c r="J4" s="60"/>
      <c r="K4" s="60"/>
    </row>
    <row r="5" spans="1:19" ht="15.75">
      <c r="A5" s="353"/>
      <c r="B5" s="205"/>
      <c r="C5" s="348" t="s">
        <v>172</v>
      </c>
      <c r="D5" s="349"/>
      <c r="E5" s="349"/>
      <c r="F5" s="174"/>
      <c r="G5" s="206"/>
      <c r="H5" s="1"/>
      <c r="I5" s="177"/>
      <c r="J5" s="60"/>
      <c r="K5" s="60"/>
    </row>
    <row r="6" spans="1:19" ht="38.1" customHeight="1">
      <c r="A6" s="178"/>
      <c r="B6" s="181" t="s">
        <v>103</v>
      </c>
      <c r="C6" s="182" t="s">
        <v>135</v>
      </c>
      <c r="D6" s="182" t="s">
        <v>136</v>
      </c>
      <c r="E6" s="183" t="s">
        <v>138</v>
      </c>
      <c r="F6" s="303" t="s">
        <v>139</v>
      </c>
      <c r="G6" s="184" t="s">
        <v>140</v>
      </c>
      <c r="I6" s="143"/>
      <c r="J6" s="11"/>
      <c r="K6" s="59"/>
    </row>
    <row r="7" spans="1:19" ht="14.25" customHeight="1">
      <c r="A7" s="179"/>
      <c r="B7" s="225" t="s">
        <v>20</v>
      </c>
      <c r="C7" s="279">
        <f>2*2080</f>
        <v>4160</v>
      </c>
      <c r="D7" s="279">
        <v>960</v>
      </c>
      <c r="E7" s="280">
        <v>5120</v>
      </c>
      <c r="F7" s="304" t="s">
        <v>20</v>
      </c>
      <c r="G7" s="226" t="s">
        <v>104</v>
      </c>
      <c r="I7" s="12"/>
      <c r="J7" s="3"/>
      <c r="K7" s="1"/>
    </row>
    <row r="8" spans="1:19" ht="14.25" customHeight="1">
      <c r="A8" s="179"/>
      <c r="B8" s="225" t="s">
        <v>22</v>
      </c>
      <c r="C8" s="279">
        <f>2*2080</f>
        <v>4160</v>
      </c>
      <c r="D8" s="279">
        <f>2*960</f>
        <v>1920</v>
      </c>
      <c r="E8" s="280">
        <v>6160</v>
      </c>
      <c r="F8" s="304" t="s">
        <v>22</v>
      </c>
      <c r="G8" s="226" t="s">
        <v>110</v>
      </c>
      <c r="I8" s="12"/>
      <c r="J8" s="3"/>
      <c r="K8" s="1"/>
    </row>
    <row r="9" spans="1:19" ht="14.25" customHeight="1">
      <c r="A9" s="179"/>
      <c r="B9" s="225" t="s">
        <v>21</v>
      </c>
      <c r="C9" s="279">
        <f>3*2080</f>
        <v>6240</v>
      </c>
      <c r="D9" s="279">
        <v>960</v>
      </c>
      <c r="E9" s="280">
        <v>7200</v>
      </c>
      <c r="F9" s="304" t="s">
        <v>21</v>
      </c>
      <c r="G9" s="226" t="s">
        <v>105</v>
      </c>
      <c r="I9" s="12"/>
      <c r="J9" s="3"/>
      <c r="K9" s="1"/>
    </row>
    <row r="10" spans="1:19" ht="15">
      <c r="A10" s="179"/>
      <c r="B10" s="225" t="s">
        <v>23</v>
      </c>
      <c r="C10" s="279">
        <f>3*2080</f>
        <v>6240</v>
      </c>
      <c r="D10" s="279">
        <f>4*960</f>
        <v>3840</v>
      </c>
      <c r="E10" s="280">
        <v>10080</v>
      </c>
      <c r="F10" s="304" t="s">
        <v>23</v>
      </c>
      <c r="G10" s="226" t="s">
        <v>106</v>
      </c>
      <c r="I10" s="12"/>
      <c r="J10" s="3"/>
      <c r="K10" s="1"/>
    </row>
    <row r="11" spans="1:19" ht="15.75" thickBot="1">
      <c r="A11" s="180"/>
      <c r="B11" s="227" t="s">
        <v>24</v>
      </c>
      <c r="C11" s="281">
        <f>3*2080</f>
        <v>6240</v>
      </c>
      <c r="D11" s="281">
        <f>6*960</f>
        <v>5760</v>
      </c>
      <c r="E11" s="282">
        <v>12000</v>
      </c>
      <c r="F11" s="305" t="s">
        <v>24</v>
      </c>
      <c r="G11" s="228" t="s">
        <v>107</v>
      </c>
      <c r="I11" s="24"/>
      <c r="J11" s="31"/>
      <c r="K11" s="1"/>
    </row>
    <row r="12" spans="1:19" ht="14.25" customHeight="1">
      <c r="A12" s="142"/>
      <c r="B12" s="142"/>
      <c r="C12" s="144"/>
      <c r="D12" s="145"/>
      <c r="E12" s="202"/>
      <c r="F12" s="146"/>
      <c r="G12" s="146"/>
      <c r="H12" s="146"/>
      <c r="I12" s="12"/>
      <c r="J12" s="1"/>
      <c r="K12" s="1"/>
    </row>
    <row r="13" spans="1:19" ht="14.25" customHeight="1" thickBot="1">
      <c r="A13" s="142"/>
      <c r="B13" s="142"/>
      <c r="C13" s="144"/>
      <c r="D13" s="145"/>
      <c r="E13" s="202"/>
      <c r="F13" s="146"/>
      <c r="G13" s="146"/>
      <c r="H13" s="146"/>
      <c r="I13" s="12"/>
      <c r="J13" s="1"/>
    </row>
    <row r="14" spans="1:19" s="5" customFormat="1" ht="31.5">
      <c r="A14" s="191" t="s">
        <v>15</v>
      </c>
      <c r="B14" s="196" t="s">
        <v>166</v>
      </c>
      <c r="C14" s="196" t="s">
        <v>167</v>
      </c>
      <c r="D14" s="196" t="s">
        <v>142</v>
      </c>
      <c r="E14" s="196" t="s">
        <v>168</v>
      </c>
      <c r="F14" s="196" t="s">
        <v>169</v>
      </c>
      <c r="G14" s="196" t="s">
        <v>143</v>
      </c>
      <c r="H14" s="196" t="s">
        <v>144</v>
      </c>
      <c r="I14" s="197" t="s">
        <v>170</v>
      </c>
      <c r="J14" s="9"/>
    </row>
    <row r="15" spans="1:19" ht="15">
      <c r="A15" s="185" t="s">
        <v>64</v>
      </c>
      <c r="B15" s="229">
        <v>120</v>
      </c>
      <c r="C15" s="229">
        <v>10</v>
      </c>
      <c r="D15" s="230">
        <f>B15/C15</f>
        <v>12</v>
      </c>
      <c r="E15" s="231">
        <v>3.5</v>
      </c>
      <c r="F15" s="232">
        <v>52</v>
      </c>
      <c r="G15" s="233">
        <f>B15/C15*E15</f>
        <v>42</v>
      </c>
      <c r="H15" s="234">
        <f>G15*F15</f>
        <v>2184</v>
      </c>
      <c r="I15" s="235">
        <f>D15*F15</f>
        <v>624</v>
      </c>
      <c r="J15" s="1"/>
    </row>
    <row r="16" spans="1:19" ht="15.75" thickBot="1">
      <c r="A16" s="186" t="s">
        <v>65</v>
      </c>
      <c r="B16" s="236">
        <v>200</v>
      </c>
      <c r="C16" s="236">
        <v>15</v>
      </c>
      <c r="D16" s="237">
        <f>B16/C16</f>
        <v>13.333333333333334</v>
      </c>
      <c r="E16" s="238">
        <v>3.5</v>
      </c>
      <c r="F16" s="239">
        <v>52</v>
      </c>
      <c r="G16" s="240">
        <f>B16/C16*E16</f>
        <v>46.666666666666671</v>
      </c>
      <c r="H16" s="241">
        <f>G16*F16</f>
        <v>2426.666666666667</v>
      </c>
      <c r="I16" s="242">
        <f>D16*F16</f>
        <v>693.33333333333337</v>
      </c>
      <c r="J16" s="1"/>
    </row>
    <row r="17" spans="1:10" ht="16.5" thickBot="1">
      <c r="A17" s="147"/>
      <c r="B17" s="148"/>
      <c r="C17" s="146"/>
      <c r="D17" s="146"/>
      <c r="E17" s="203"/>
      <c r="F17" s="149"/>
      <c r="G17" s="24"/>
      <c r="H17" s="149"/>
      <c r="I17" s="150"/>
      <c r="J17" s="37"/>
    </row>
    <row r="18" spans="1:10" ht="15.75">
      <c r="A18" s="191" t="s">
        <v>25</v>
      </c>
      <c r="B18" s="192" t="s">
        <v>16</v>
      </c>
      <c r="C18" s="193" t="s">
        <v>145</v>
      </c>
      <c r="D18" s="194" t="s">
        <v>146</v>
      </c>
      <c r="E18" s="195" t="s">
        <v>9</v>
      </c>
      <c r="F18" s="149"/>
      <c r="G18" s="24"/>
      <c r="H18" s="149"/>
      <c r="I18" s="150"/>
      <c r="J18" s="37"/>
    </row>
    <row r="19" spans="1:10" ht="15.75">
      <c r="A19" s="187"/>
      <c r="B19" s="188" t="s">
        <v>111</v>
      </c>
      <c r="C19" s="243">
        <v>17</v>
      </c>
      <c r="D19" s="244">
        <v>50</v>
      </c>
      <c r="E19" s="245">
        <f>C19*D19</f>
        <v>850</v>
      </c>
      <c r="F19" s="149"/>
      <c r="G19" s="24"/>
      <c r="H19" s="149"/>
      <c r="I19" s="150"/>
      <c r="J19" s="37"/>
    </row>
    <row r="20" spans="1:10" ht="30.75">
      <c r="A20" s="187"/>
      <c r="B20" s="188" t="s">
        <v>171</v>
      </c>
      <c r="C20" s="243">
        <v>200</v>
      </c>
      <c r="D20" s="244">
        <v>7</v>
      </c>
      <c r="E20" s="245">
        <f>C20*D20</f>
        <v>1400</v>
      </c>
      <c r="F20" s="149"/>
      <c r="G20" s="24"/>
      <c r="H20" s="149"/>
      <c r="I20" s="150"/>
      <c r="J20" s="37"/>
    </row>
    <row r="21" spans="1:10" ht="15.75">
      <c r="A21" s="187"/>
      <c r="B21" s="188" t="s">
        <v>17</v>
      </c>
      <c r="C21" s="243">
        <v>1500</v>
      </c>
      <c r="D21" s="244">
        <v>2</v>
      </c>
      <c r="E21" s="245">
        <f>C21*D21</f>
        <v>3000</v>
      </c>
      <c r="F21" s="149"/>
      <c r="G21" s="24"/>
      <c r="H21" s="149"/>
      <c r="I21" s="150"/>
      <c r="J21" s="37"/>
    </row>
    <row r="22" spans="1:10" ht="45.75">
      <c r="A22" s="187"/>
      <c r="B22" s="188" t="s">
        <v>112</v>
      </c>
      <c r="C22" s="243">
        <v>300</v>
      </c>
      <c r="D22" s="244">
        <v>1</v>
      </c>
      <c r="E22" s="245">
        <f>C22*D22</f>
        <v>300</v>
      </c>
      <c r="F22" s="149"/>
      <c r="G22" s="24"/>
      <c r="H22" s="149"/>
      <c r="I22" s="150"/>
      <c r="J22" s="37"/>
    </row>
    <row r="23" spans="1:10" ht="16.5" thickBot="1">
      <c r="A23" s="198" t="s">
        <v>175</v>
      </c>
      <c r="B23" s="199"/>
      <c r="C23" s="200"/>
      <c r="D23" s="201"/>
      <c r="E23" s="246">
        <f>SUM(E19:E22)</f>
        <v>5550</v>
      </c>
      <c r="F23" s="149"/>
      <c r="G23" s="24"/>
      <c r="H23" s="149"/>
      <c r="I23" s="150"/>
      <c r="J23" s="37"/>
    </row>
    <row r="24" spans="1:10" ht="16.5" thickBot="1">
      <c r="A24" s="57"/>
      <c r="B24" s="151"/>
      <c r="C24" s="146"/>
      <c r="D24" s="146"/>
      <c r="E24" s="203"/>
      <c r="F24" s="149"/>
      <c r="G24" s="24"/>
      <c r="H24" s="149"/>
      <c r="I24" s="150"/>
      <c r="J24" s="38"/>
    </row>
    <row r="25" spans="1:10" ht="15.75">
      <c r="A25" s="190" t="s">
        <v>13</v>
      </c>
      <c r="B25" s="306" t="s">
        <v>184</v>
      </c>
      <c r="C25" s="146"/>
      <c r="D25" s="146"/>
      <c r="E25" s="169"/>
      <c r="F25" s="146"/>
      <c r="G25" s="146"/>
      <c r="H25" s="146"/>
      <c r="I25" s="146"/>
      <c r="J25" s="1"/>
    </row>
    <row r="26" spans="1:10" ht="90.75" thickBot="1">
      <c r="A26" s="186" t="s">
        <v>141</v>
      </c>
      <c r="B26" s="307">
        <v>1</v>
      </c>
      <c r="C26" s="189"/>
      <c r="D26" s="146"/>
      <c r="E26" s="169"/>
      <c r="F26" s="146"/>
      <c r="G26" s="146"/>
      <c r="H26" s="146"/>
      <c r="I26" s="146"/>
      <c r="J26" s="1"/>
    </row>
    <row r="27" spans="1:10" ht="15">
      <c r="A27" s="148"/>
      <c r="B27" s="142"/>
      <c r="C27" s="152"/>
      <c r="D27" s="146"/>
      <c r="E27" s="169"/>
      <c r="F27" s="146"/>
      <c r="G27" s="146"/>
      <c r="H27" s="146"/>
      <c r="I27" s="146"/>
      <c r="J27" s="1"/>
    </row>
    <row r="28" spans="1:10" ht="18.75" thickBot="1">
      <c r="A28" s="65" t="s">
        <v>185</v>
      </c>
      <c r="B28" s="142"/>
      <c r="C28" s="153"/>
      <c r="D28" s="146"/>
      <c r="E28" s="169"/>
      <c r="F28" s="146"/>
      <c r="G28" s="146"/>
      <c r="H28" s="146"/>
      <c r="I28" s="146"/>
      <c r="J28" s="1"/>
    </row>
    <row r="29" spans="1:10" ht="63">
      <c r="A29" s="308" t="s">
        <v>133</v>
      </c>
      <c r="B29" s="286"/>
      <c r="C29" s="287" t="s">
        <v>7</v>
      </c>
      <c r="D29" s="287" t="s">
        <v>8</v>
      </c>
      <c r="E29" s="288" t="s">
        <v>6</v>
      </c>
      <c r="F29" s="288" t="s">
        <v>186</v>
      </c>
      <c r="G29" s="288" t="s">
        <v>108</v>
      </c>
      <c r="H29" s="289" t="s">
        <v>109</v>
      </c>
      <c r="I29" s="176"/>
      <c r="J29" s="1"/>
    </row>
    <row r="30" spans="1:10" ht="30.75" thickBot="1">
      <c r="A30" s="309" t="s">
        <v>189</v>
      </c>
      <c r="B30" s="264">
        <f>D33</f>
        <v>25900</v>
      </c>
      <c r="C30" s="259">
        <v>0.2</v>
      </c>
      <c r="D30" s="260">
        <f>B30*(1-C30)</f>
        <v>20720</v>
      </c>
      <c r="E30" s="261">
        <v>4.7500000000000001E-2</v>
      </c>
      <c r="F30" s="262">
        <v>7</v>
      </c>
      <c r="G30" s="263">
        <f>CUMIPMT(E30/12,F30*12,D30,1,12,0)*-1</f>
        <v>929.02801901840348</v>
      </c>
      <c r="H30" s="284">
        <f>CUMIPMT(E30/12,F30*12,D30,13,24,0)*-1</f>
        <v>804.93510226424451</v>
      </c>
      <c r="I30" s="24"/>
      <c r="J30" s="1"/>
    </row>
    <row r="31" spans="1:10" ht="16.5" thickBot="1">
      <c r="A31" s="57"/>
      <c r="B31" s="161"/>
      <c r="C31" s="162"/>
      <c r="D31" s="24"/>
      <c r="E31" s="176"/>
      <c r="F31" s="24"/>
      <c r="G31" s="24"/>
      <c r="H31" s="24"/>
      <c r="I31" s="24"/>
      <c r="J31" s="1"/>
    </row>
    <row r="32" spans="1:10" ht="63">
      <c r="A32" s="250" t="s">
        <v>131</v>
      </c>
      <c r="B32" s="196" t="s">
        <v>36</v>
      </c>
      <c r="C32" s="196" t="s">
        <v>41</v>
      </c>
      <c r="D32" s="251" t="s">
        <v>39</v>
      </c>
      <c r="E32" s="196" t="s">
        <v>156</v>
      </c>
      <c r="F32" s="196" t="s">
        <v>174</v>
      </c>
      <c r="G32" s="196" t="s">
        <v>157</v>
      </c>
      <c r="H32" s="196" t="s">
        <v>40</v>
      </c>
      <c r="I32" s="197" t="s">
        <v>0</v>
      </c>
      <c r="J32" s="1"/>
    </row>
    <row r="33" spans="1:11" ht="105.75">
      <c r="A33" s="252" t="s">
        <v>132</v>
      </c>
      <c r="B33" s="156" t="s">
        <v>187</v>
      </c>
      <c r="C33" s="63" t="s">
        <v>35</v>
      </c>
      <c r="D33" s="294">
        <f>21900+4000</f>
        <v>25900</v>
      </c>
      <c r="E33" s="295">
        <v>7</v>
      </c>
      <c r="F33" s="219">
        <f>D33/E33</f>
        <v>3700</v>
      </c>
      <c r="G33" s="293">
        <v>1</v>
      </c>
      <c r="H33" s="247">
        <f>F33*G33</f>
        <v>3700</v>
      </c>
      <c r="I33" s="253">
        <f t="shared" ref="I33:I42" si="0">D33*G33</f>
        <v>25900</v>
      </c>
      <c r="J33" s="1"/>
    </row>
    <row r="34" spans="1:11" ht="15.75">
      <c r="A34" s="252" t="s">
        <v>5</v>
      </c>
      <c r="B34" s="155" t="s">
        <v>5</v>
      </c>
      <c r="C34" s="63" t="s">
        <v>35</v>
      </c>
      <c r="D34" s="294">
        <v>40000</v>
      </c>
      <c r="E34" s="296">
        <v>5</v>
      </c>
      <c r="F34" s="219">
        <f t="shared" ref="F34:F42" si="1">D34/E34</f>
        <v>8000</v>
      </c>
      <c r="G34" s="293">
        <v>1</v>
      </c>
      <c r="H34" s="247">
        <f t="shared" ref="H34:H42" si="2">F34*G34</f>
        <v>8000</v>
      </c>
      <c r="I34" s="253">
        <f t="shared" si="0"/>
        <v>40000</v>
      </c>
      <c r="J34" s="1"/>
    </row>
    <row r="35" spans="1:11" ht="45.75">
      <c r="A35" s="252" t="s">
        <v>147</v>
      </c>
      <c r="B35" s="157" t="s">
        <v>153</v>
      </c>
      <c r="C35" s="298">
        <v>6000</v>
      </c>
      <c r="D35" s="294">
        <v>148</v>
      </c>
      <c r="E35" s="296">
        <v>7</v>
      </c>
      <c r="F35" s="219">
        <f t="shared" si="1"/>
        <v>21.142857142857142</v>
      </c>
      <c r="G35" s="248">
        <f>ROUNDUP('Oyster Crop Budget'!$F$8/'Line Item Notes'!$C$36,0)*0.2</f>
        <v>166.8</v>
      </c>
      <c r="H35" s="247">
        <f t="shared" si="2"/>
        <v>3526.6285714285714</v>
      </c>
      <c r="I35" s="253">
        <f t="shared" si="0"/>
        <v>24686.400000000001</v>
      </c>
      <c r="J35" s="1"/>
    </row>
    <row r="36" spans="1:11" ht="30.75">
      <c r="A36" s="252" t="s">
        <v>148</v>
      </c>
      <c r="B36" s="158" t="s">
        <v>154</v>
      </c>
      <c r="C36" s="298">
        <v>1200</v>
      </c>
      <c r="D36" s="294">
        <v>135</v>
      </c>
      <c r="E36" s="296">
        <v>7</v>
      </c>
      <c r="F36" s="219">
        <f t="shared" si="1"/>
        <v>19.285714285714285</v>
      </c>
      <c r="G36" s="248">
        <f>ROUNDUP('Oyster Crop Budget'!$F$8/'Line Item Notes'!$C$36,0)*0.8</f>
        <v>667.2</v>
      </c>
      <c r="H36" s="247">
        <f t="shared" si="2"/>
        <v>12867.428571428572</v>
      </c>
      <c r="I36" s="253">
        <f t="shared" si="0"/>
        <v>90072</v>
      </c>
      <c r="J36" s="1"/>
    </row>
    <row r="37" spans="1:11" ht="15.75">
      <c r="A37" s="252" t="s">
        <v>149</v>
      </c>
      <c r="B37" s="158" t="s">
        <v>37</v>
      </c>
      <c r="C37" s="298">
        <v>1000</v>
      </c>
      <c r="D37" s="294">
        <v>4.5</v>
      </c>
      <c r="E37" s="296">
        <v>5</v>
      </c>
      <c r="F37" s="219">
        <f t="shared" si="1"/>
        <v>0.9</v>
      </c>
      <c r="G37" s="292">
        <f>'Oyster Crop Budget'!$F$9/'Line Item Notes'!C37</f>
        <v>2000</v>
      </c>
      <c r="H37" s="247">
        <f t="shared" si="2"/>
        <v>1800</v>
      </c>
      <c r="I37" s="253">
        <f t="shared" si="0"/>
        <v>9000</v>
      </c>
      <c r="J37" s="1"/>
    </row>
    <row r="38" spans="1:11" ht="15.75">
      <c r="A38" s="252" t="s">
        <v>150</v>
      </c>
      <c r="B38" s="159" t="s">
        <v>38</v>
      </c>
      <c r="C38" s="298">
        <v>300</v>
      </c>
      <c r="D38" s="294">
        <v>4.5</v>
      </c>
      <c r="E38" s="296">
        <v>5</v>
      </c>
      <c r="F38" s="219">
        <f t="shared" si="1"/>
        <v>0.9</v>
      </c>
      <c r="G38" s="292">
        <f>'Oyster Crop Budget'!$F$8/'Line Item Notes'!C38</f>
        <v>3333.3333333333335</v>
      </c>
      <c r="H38" s="247">
        <f t="shared" si="2"/>
        <v>3000</v>
      </c>
      <c r="I38" s="253">
        <f t="shared" si="0"/>
        <v>15000</v>
      </c>
      <c r="J38" s="1"/>
    </row>
    <row r="39" spans="1:11" ht="60.75">
      <c r="A39" s="252" t="s">
        <v>151</v>
      </c>
      <c r="B39" s="157" t="s">
        <v>173</v>
      </c>
      <c r="C39" s="63" t="s">
        <v>35</v>
      </c>
      <c r="D39" s="294">
        <f>6500+6200</f>
        <v>12700</v>
      </c>
      <c r="E39" s="296">
        <v>7</v>
      </c>
      <c r="F39" s="219">
        <f t="shared" si="1"/>
        <v>1814.2857142857142</v>
      </c>
      <c r="G39" s="293">
        <v>0</v>
      </c>
      <c r="H39" s="247">
        <f t="shared" si="2"/>
        <v>0</v>
      </c>
      <c r="I39" s="253">
        <f t="shared" si="0"/>
        <v>0</v>
      </c>
      <c r="J39" s="1"/>
    </row>
    <row r="40" spans="1:11" s="30" customFormat="1" ht="135.75">
      <c r="A40" s="254" t="s">
        <v>152</v>
      </c>
      <c r="B40" s="160" t="s">
        <v>155</v>
      </c>
      <c r="C40" s="63" t="s">
        <v>35</v>
      </c>
      <c r="D40" s="297">
        <v>17506.349999999999</v>
      </c>
      <c r="E40" s="296">
        <v>10</v>
      </c>
      <c r="F40" s="219">
        <f t="shared" si="1"/>
        <v>1750.6349999999998</v>
      </c>
      <c r="G40" s="293">
        <v>1</v>
      </c>
      <c r="H40" s="247">
        <f t="shared" si="2"/>
        <v>1750.6349999999998</v>
      </c>
      <c r="I40" s="253">
        <f t="shared" si="0"/>
        <v>17506.349999999999</v>
      </c>
      <c r="J40" s="96"/>
    </row>
    <row r="41" spans="1:11" s="6" customFormat="1" ht="60.75">
      <c r="A41" s="254" t="s">
        <v>86</v>
      </c>
      <c r="B41" s="160" t="s">
        <v>119</v>
      </c>
      <c r="C41" s="63" t="s">
        <v>35</v>
      </c>
      <c r="D41" s="297">
        <v>8500</v>
      </c>
      <c r="E41" s="296">
        <v>8</v>
      </c>
      <c r="F41" s="219">
        <f t="shared" si="1"/>
        <v>1062.5</v>
      </c>
      <c r="G41" s="293">
        <v>1</v>
      </c>
      <c r="H41" s="247">
        <f t="shared" si="2"/>
        <v>1062.5</v>
      </c>
      <c r="I41" s="253">
        <f t="shared" si="0"/>
        <v>8500</v>
      </c>
      <c r="J41" s="64"/>
      <c r="K41" s="134"/>
    </row>
    <row r="42" spans="1:11" s="6" customFormat="1" ht="45.75">
      <c r="A42" s="254" t="s">
        <v>87</v>
      </c>
      <c r="B42" s="160" t="s">
        <v>120</v>
      </c>
      <c r="C42" s="63" t="s">
        <v>35</v>
      </c>
      <c r="D42" s="297">
        <v>13000</v>
      </c>
      <c r="E42" s="296">
        <v>10</v>
      </c>
      <c r="F42" s="219">
        <f t="shared" si="1"/>
        <v>1300</v>
      </c>
      <c r="G42" s="293">
        <v>1</v>
      </c>
      <c r="H42" s="247">
        <f t="shared" si="2"/>
        <v>1300</v>
      </c>
      <c r="I42" s="253">
        <f t="shared" si="0"/>
        <v>13000</v>
      </c>
      <c r="J42" s="64"/>
    </row>
    <row r="43" spans="1:11" ht="24" customHeight="1" thickBot="1">
      <c r="A43" s="255" t="s">
        <v>18</v>
      </c>
      <c r="B43" s="256"/>
      <c r="C43" s="350"/>
      <c r="D43" s="350"/>
      <c r="E43" s="350"/>
      <c r="F43" s="350"/>
      <c r="G43" s="350"/>
      <c r="H43" s="257">
        <f>SUM(H33:H42)</f>
        <v>37007.192142857144</v>
      </c>
      <c r="I43" s="258">
        <f>SUM(I33:I42)</f>
        <v>243664.75</v>
      </c>
      <c r="J43" s="1"/>
    </row>
    <row r="44" spans="1:11">
      <c r="A44" s="9"/>
      <c r="B44" s="9"/>
      <c r="C44" s="36"/>
      <c r="D44" s="1"/>
      <c r="E44" s="172"/>
      <c r="F44" s="1"/>
      <c r="G44" s="1"/>
      <c r="H44" s="1"/>
      <c r="I44" s="1"/>
      <c r="J44" s="1"/>
    </row>
    <row r="45" spans="1:11">
      <c r="A45" s="9"/>
      <c r="B45" s="9"/>
      <c r="C45" s="36"/>
      <c r="D45" s="1"/>
      <c r="E45" s="172"/>
      <c r="F45" s="1"/>
      <c r="G45" s="1"/>
      <c r="H45" s="1"/>
      <c r="I45" s="1"/>
      <c r="J45" s="1"/>
    </row>
    <row r="73" spans="1:1">
      <c r="A73" s="55"/>
    </row>
  </sheetData>
  <mergeCells count="4">
    <mergeCell ref="C5:E5"/>
    <mergeCell ref="C43:G43"/>
    <mergeCell ref="C4:F4"/>
    <mergeCell ref="A4:A5"/>
  </mergeCells>
  <phoneticPr fontId="36" type="noConversion"/>
  <pageMargins left="0.75" right="0.75" top="1" bottom="1" header="0.5" footer="0.5"/>
  <pageSetup scale="48" orientation="portrait" useFirstPageNumber="1" horizontalDpi="1200" verticalDpi="1200" r:id="rId1"/>
  <headerFooter>
    <oddHeader>&amp;C&amp;"Arial,Bold"&amp;16&amp;K000000Medium-Scale Cultchless Oyster Crop Budgets: Line Item Notes Worksheet_x000D_</oddHeader>
  </headerFooter>
  <rowBreaks count="1" manualBreakCount="1">
    <brk id="27" max="8" man="1"/>
  </rowBreaks>
  <ignoredErrors>
    <ignoredError sqref="E19:E21 D15:D16 E22:E23" unlockedFormula="1"/>
  </ignoredErrors>
  <legacyDrawing r:id="rId2"/>
  <extLst>
    <ext xmlns:mx="http://schemas.microsoft.com/office/mac/excel/2008/main" uri="{64002731-A6B0-56B0-2670-7721B7C09600}">
      <mx:PLV Mode="1" OnePage="0" WScale="69"/>
    </ext>
  </extLst>
</worksheet>
</file>

<file path=xl/worksheets/sheet4.xml><?xml version="1.0" encoding="utf-8"?>
<worksheet xmlns="http://schemas.openxmlformats.org/spreadsheetml/2006/main" xmlns:r="http://schemas.openxmlformats.org/officeDocument/2006/relationships">
  <dimension ref="B2:E58"/>
  <sheetViews>
    <sheetView view="pageLayout" topLeftCell="A31" zoomScale="125" zoomScalePageLayoutView="125" workbookViewId="0">
      <selection activeCell="C32" sqref="C32"/>
    </sheetView>
  </sheetViews>
  <sheetFormatPr defaultColWidth="9.140625" defaultRowHeight="14.25"/>
  <cols>
    <col min="1" max="1" width="5.85546875" style="35" customWidth="1"/>
    <col min="2" max="2" width="47.7109375" style="35" bestFit="1" customWidth="1"/>
    <col min="3" max="3" width="19.42578125" style="35" customWidth="1"/>
    <col min="4" max="4" width="4.28515625" style="35" customWidth="1"/>
    <col min="5" max="5" width="14" style="35" customWidth="1"/>
    <col min="6" max="16384" width="9.140625" style="35"/>
  </cols>
  <sheetData>
    <row r="2" spans="2:5" ht="33.75" customHeight="1">
      <c r="B2" s="354" t="s">
        <v>159</v>
      </c>
      <c r="C2" s="354"/>
      <c r="D2" s="164"/>
      <c r="E2" s="101"/>
    </row>
    <row r="3" spans="2:5" ht="27" customHeight="1" thickBot="1">
      <c r="B3" s="355"/>
      <c r="C3" s="355"/>
      <c r="D3" s="165"/>
      <c r="E3" s="114"/>
    </row>
    <row r="4" spans="2:5" ht="45">
      <c r="B4" s="73"/>
      <c r="C4" s="163" t="s">
        <v>27</v>
      </c>
      <c r="D4" s="112"/>
    </row>
    <row r="5" spans="2:5" ht="15">
      <c r="B5" s="74"/>
      <c r="C5" s="75" t="s">
        <v>56</v>
      </c>
      <c r="D5" s="72"/>
    </row>
    <row r="6" spans="2:5" ht="15">
      <c r="B6" s="74" t="s">
        <v>2</v>
      </c>
      <c r="C6" s="79"/>
      <c r="D6" s="50"/>
    </row>
    <row r="7" spans="2:5">
      <c r="B7" s="82" t="s">
        <v>59</v>
      </c>
      <c r="C7" s="93">
        <f>'Oyster Crop Budget'!F19/'Oyster Crop Budget'!F78</f>
        <v>7.715411826863168E-2</v>
      </c>
      <c r="D7" s="70"/>
    </row>
    <row r="8" spans="2:5">
      <c r="B8" s="82" t="s">
        <v>113</v>
      </c>
      <c r="C8" s="93">
        <f>('Oyster Crop Budget'!F20+'Oyster Crop Budget'!F21+'Oyster Crop Budget'!F22+'Oyster Crop Budget'!F23)/'Oyster Crop Budget'!F78</f>
        <v>0.68225457931994282</v>
      </c>
      <c r="D8" s="70"/>
    </row>
    <row r="9" spans="2:5">
      <c r="B9" s="83" t="s">
        <v>28</v>
      </c>
      <c r="C9" s="93">
        <f>('Oyster Crop Budget'!F24+'Oyster Crop Budget'!F25)/'Oyster Crop Budget'!F78</f>
        <v>2.2234852458541295E-2</v>
      </c>
      <c r="D9" s="70"/>
      <c r="E9" s="71"/>
    </row>
    <row r="10" spans="2:5">
      <c r="B10" s="83" t="s">
        <v>29</v>
      </c>
      <c r="C10" s="93">
        <f>('Oyster Crop Budget'!F26+'Oyster Crop Budget'!F27+'Oyster Crop Budget'!F28)/'Oyster Crop Budget'!F78</f>
        <v>1.326086407742107E-2</v>
      </c>
      <c r="D10" s="70"/>
    </row>
    <row r="11" spans="2:5">
      <c r="B11" s="83" t="s">
        <v>70</v>
      </c>
      <c r="C11" s="93">
        <f>'Oyster Crop Budget'!F30/'Oyster Crop Budget'!F78</f>
        <v>4.0216584147524269E-3</v>
      </c>
      <c r="D11" s="70"/>
      <c r="E11" s="71"/>
    </row>
    <row r="12" spans="2:5" ht="15">
      <c r="B12" s="167" t="s">
        <v>175</v>
      </c>
      <c r="C12" s="139">
        <f>'Oyster Crop Budget'!F34/'Oyster Crop Budget'!F78</f>
        <v>0.79892607253928927</v>
      </c>
      <c r="D12" s="86"/>
    </row>
    <row r="13" spans="2:5">
      <c r="B13" s="78"/>
      <c r="C13" s="76"/>
    </row>
    <row r="14" spans="2:5" ht="15">
      <c r="B14" s="74" t="s">
        <v>3</v>
      </c>
      <c r="C14" s="79"/>
      <c r="D14" s="50"/>
    </row>
    <row r="15" spans="2:5" ht="15">
      <c r="B15" s="84" t="s">
        <v>114</v>
      </c>
      <c r="C15" s="93">
        <f>'Oyster Crop Budget'!F39/'Oyster Crop Budget'!F78</f>
        <v>3.8818165753905318E-3</v>
      </c>
      <c r="D15" s="71"/>
      <c r="E15" s="71"/>
    </row>
    <row r="16" spans="2:5">
      <c r="B16" s="85" t="s">
        <v>115</v>
      </c>
      <c r="C16" s="93">
        <f>('Oyster Crop Budget'!F40+'Oyster Crop Budget'!F41+'Oyster Crop Budget'!F42)/'Oyster Crop Budget'!F78</f>
        <v>1.0367584642347383E-2</v>
      </c>
      <c r="D16" s="71"/>
    </row>
    <row r="17" spans="2:5">
      <c r="B17" s="85" t="s">
        <v>116</v>
      </c>
      <c r="C17" s="93">
        <f>('Oyster Crop Budget'!F43+'Oyster Crop Budget'!F44+'Oyster Crop Budget'!F45)/'Oyster Crop Budget'!F78</f>
        <v>5.063239011378954E-3</v>
      </c>
      <c r="D17" s="71"/>
    </row>
    <row r="18" spans="2:5">
      <c r="B18" s="97" t="s">
        <v>77</v>
      </c>
      <c r="C18" s="98">
        <f>'Oyster Crop Budget'!F46/'Oyster Crop Budget'!F78</f>
        <v>1.9288529567157921E-3</v>
      </c>
      <c r="D18" s="92"/>
      <c r="E18" s="71"/>
    </row>
    <row r="19" spans="2:5" ht="15">
      <c r="B19" s="74" t="s">
        <v>78</v>
      </c>
      <c r="C19" s="77"/>
      <c r="D19" s="71"/>
      <c r="E19" s="71"/>
    </row>
    <row r="20" spans="2:5">
      <c r="B20" s="85" t="s">
        <v>79</v>
      </c>
      <c r="C20" s="93">
        <f>'Oyster Crop Budget'!F48/'Oyster Crop Budget'!F78</f>
        <v>1.7841889849621078E-2</v>
      </c>
      <c r="D20" s="71"/>
    </row>
    <row r="21" spans="2:5">
      <c r="B21" s="85" t="s">
        <v>5</v>
      </c>
      <c r="C21" s="93">
        <f>'Oyster Crop Budget'!F49/'Oyster Crop Budget'!F78</f>
        <v>3.857705913431584E-2</v>
      </c>
      <c r="D21" s="71"/>
    </row>
    <row r="22" spans="2:5">
      <c r="B22" s="82" t="s">
        <v>30</v>
      </c>
      <c r="C22" s="93">
        <f>('Oyster Crop Budget'!F50+'Oyster Crop Budget'!F51+'Oyster Crop Budget'!F52+'Oyster Crop Budget'!F53)/'Oyster Crop Budget'!F78</f>
        <v>0.10220509604397804</v>
      </c>
      <c r="D22" s="71"/>
    </row>
    <row r="23" spans="2:5">
      <c r="B23" s="85" t="s">
        <v>84</v>
      </c>
      <c r="C23" s="93"/>
      <c r="D23" s="71"/>
    </row>
    <row r="24" spans="2:5">
      <c r="B24" s="82" t="s">
        <v>85</v>
      </c>
      <c r="C24" s="93">
        <f>'Oyster Crop Budget'!F55/'Oyster Crop Budget'!F78</f>
        <v>8.4417937397003751E-3</v>
      </c>
      <c r="D24" s="71"/>
    </row>
    <row r="25" spans="2:5">
      <c r="B25" s="85" t="s">
        <v>117</v>
      </c>
      <c r="C25" s="93">
        <f>('Oyster Crop Budget'!F56+'Oyster Crop Budget'!F57)/'Oyster Crop Budget'!F78</f>
        <v>1.1392287775602647E-2</v>
      </c>
      <c r="D25" s="71"/>
    </row>
    <row r="26" spans="2:5" ht="15">
      <c r="B26" s="167" t="s">
        <v>175</v>
      </c>
      <c r="C26" s="139">
        <f>'Oyster Crop Budget'!F59/'Oyster Crop Budget'!F78</f>
        <v>0.19969961972905065</v>
      </c>
      <c r="D26" s="86"/>
      <c r="E26" s="71"/>
    </row>
    <row r="27" spans="2:5">
      <c r="B27" s="78"/>
      <c r="C27" s="76"/>
    </row>
    <row r="28" spans="2:5" ht="34.5" customHeight="1" thickBot="1">
      <c r="B28" s="81" t="s">
        <v>88</v>
      </c>
      <c r="C28" s="265">
        <f>'Oyster Crop Budget'!F76/'Oyster Crop Budget'!F78</f>
        <v>1.3743077316600019E-3</v>
      </c>
    </row>
    <row r="29" spans="2:5" ht="15">
      <c r="B29" s="50"/>
    </row>
    <row r="31" spans="2:5" ht="15">
      <c r="B31" s="50" t="s">
        <v>118</v>
      </c>
    </row>
    <row r="32" spans="2:5" ht="15" thickBot="1">
      <c r="B32" s="170" t="s">
        <v>31</v>
      </c>
      <c r="C32" s="283">
        <f>C41+C55+C57</f>
        <v>0.20737713500000002</v>
      </c>
    </row>
    <row r="33" spans="2:5">
      <c r="B33" s="73"/>
      <c r="C33" s="89"/>
    </row>
    <row r="34" spans="2:5" ht="30">
      <c r="B34" s="74"/>
      <c r="C34" s="168" t="s">
        <v>158</v>
      </c>
    </row>
    <row r="35" spans="2:5" ht="15">
      <c r="B35" s="74" t="s">
        <v>2</v>
      </c>
      <c r="C35" s="90"/>
    </row>
    <row r="36" spans="2:5">
      <c r="B36" s="87" t="s">
        <v>59</v>
      </c>
      <c r="C36" s="117">
        <f>'Oyster Crop Budget'!F19/'Oyster Crop Budget'!C16</f>
        <v>1.6E-2</v>
      </c>
      <c r="E36" s="113"/>
    </row>
    <row r="37" spans="2:5">
      <c r="B37" s="82" t="s">
        <v>113</v>
      </c>
      <c r="C37" s="117">
        <f>('Oyster Crop Budget'!F20+'Oyster Crop Budget'!F21+'Oyster Crop Budget'!F22+'Oyster Crop Budget'!F23)/'Oyster Crop Budget'!C16</f>
        <v>0.141484</v>
      </c>
    </row>
    <row r="38" spans="2:5">
      <c r="B38" s="88" t="s">
        <v>28</v>
      </c>
      <c r="C38" s="117">
        <f>('Oyster Crop Budget'!F24+'Oyster Crop Budget'!F25)/'Oyster Crop Budget'!C16</f>
        <v>4.6109999999999996E-3</v>
      </c>
    </row>
    <row r="39" spans="2:5">
      <c r="B39" s="88" t="s">
        <v>29</v>
      </c>
      <c r="C39" s="117">
        <f>('Oyster Crop Budget'!F26+'Oyster Crop Budget'!F27+'Oyster Crop Budget'!F28)/'Oyster Crop Budget'!C16</f>
        <v>2.7499999999999998E-3</v>
      </c>
    </row>
    <row r="40" spans="2:5">
      <c r="B40" s="88" t="s">
        <v>70</v>
      </c>
      <c r="C40" s="117">
        <f>'Oyster Crop Budget'!F30/'Oyster Crop Budget'!C16</f>
        <v>8.34E-4</v>
      </c>
    </row>
    <row r="41" spans="2:5" ht="15">
      <c r="B41" s="167" t="s">
        <v>175</v>
      </c>
      <c r="C41" s="140">
        <f>'Oyster Crop Budget'!F34/'Oyster Crop Budget'!C16</f>
        <v>0.16567899999999999</v>
      </c>
    </row>
    <row r="42" spans="2:5">
      <c r="B42" s="78"/>
      <c r="C42" s="118"/>
    </row>
    <row r="43" spans="2:5" ht="15">
      <c r="B43" s="74" t="s">
        <v>3</v>
      </c>
      <c r="C43" s="119"/>
    </row>
    <row r="44" spans="2:5" ht="15">
      <c r="B44" s="84" t="s">
        <v>176</v>
      </c>
      <c r="C44" s="117">
        <f>'Oyster Crop Budget'!F39/'Oyster Crop Budget'!C16</f>
        <v>8.0500000000000005E-4</v>
      </c>
      <c r="E44" s="113"/>
    </row>
    <row r="45" spans="2:5">
      <c r="B45" s="85" t="s">
        <v>115</v>
      </c>
      <c r="C45" s="117">
        <f>('Oyster Crop Budget'!F40+'Oyster Crop Budget'!F41)/'Oyster Crop Budget'!C16</f>
        <v>1.15E-3</v>
      </c>
      <c r="E45" s="113"/>
    </row>
    <row r="46" spans="2:5">
      <c r="B46" s="85" t="s">
        <v>116</v>
      </c>
      <c r="C46" s="117">
        <f>('Oyster Crop Budget'!F44+'Oyster Crop Budget'!F45)/'Oyster Crop Budget'!C16</f>
        <v>1.0499999999999999E-3</v>
      </c>
      <c r="E46" s="113"/>
    </row>
    <row r="47" spans="2:5">
      <c r="B47" s="97" t="s">
        <v>77</v>
      </c>
      <c r="C47" s="117"/>
    </row>
    <row r="48" spans="2:5" ht="15">
      <c r="B48" s="74" t="s">
        <v>177</v>
      </c>
      <c r="C48" s="118"/>
    </row>
    <row r="49" spans="2:3">
      <c r="B49" s="85" t="s">
        <v>79</v>
      </c>
      <c r="C49" s="117">
        <f>'Oyster Crop Budget'!F48/'Oyster Crop Budget'!C16</f>
        <v>3.7000000000000002E-3</v>
      </c>
    </row>
    <row r="50" spans="2:3">
      <c r="B50" s="85" t="s">
        <v>5</v>
      </c>
      <c r="C50" s="117">
        <f>'Oyster Crop Budget'!F49/'Oyster Crop Budget'!C16</f>
        <v>8.0000000000000002E-3</v>
      </c>
    </row>
    <row r="51" spans="2:3">
      <c r="B51" s="82" t="s">
        <v>30</v>
      </c>
      <c r="C51" s="117">
        <f>('Oyster Crop Budget'!F50+'Oyster Crop Budget'!F51+'Oyster Crop Budget'!F52+'Oyster Crop Budget'!F53)/'Oyster Crop Budget'!C16</f>
        <v>2.1194999999999999E-2</v>
      </c>
    </row>
    <row r="52" spans="2:3">
      <c r="B52" s="85" t="s">
        <v>84</v>
      </c>
      <c r="C52" s="117"/>
    </row>
    <row r="53" spans="2:3">
      <c r="B53" s="82" t="s">
        <v>85</v>
      </c>
      <c r="C53" s="117">
        <f>'Oyster Crop Budget'!F55/'Oyster Crop Budget'!C16</f>
        <v>1.7506349999999997E-3</v>
      </c>
    </row>
    <row r="54" spans="2:3">
      <c r="B54" s="85" t="s">
        <v>117</v>
      </c>
      <c r="C54" s="117">
        <f>('Oyster Crop Budget'!F56+'Oyster Crop Budget'!F57)/'Oyster Crop Budget'!C16</f>
        <v>2.3625E-3</v>
      </c>
    </row>
    <row r="55" spans="2:3" ht="15">
      <c r="B55" s="167" t="s">
        <v>175</v>
      </c>
      <c r="C55" s="140">
        <f>'Oyster Crop Budget'!F59/'Oyster Crop Budget'!C16</f>
        <v>4.1413135000000004E-2</v>
      </c>
    </row>
    <row r="56" spans="2:3">
      <c r="B56" s="78"/>
      <c r="C56" s="118"/>
    </row>
    <row r="57" spans="2:3" ht="30">
      <c r="B57" s="80" t="s">
        <v>88</v>
      </c>
      <c r="C57" s="141">
        <f>'Oyster Crop Budget'!F76/'Oyster Crop Budget'!C16</f>
        <v>2.8499999999999999E-4</v>
      </c>
    </row>
    <row r="58" spans="2:3" ht="15.75" thickBot="1">
      <c r="B58" s="94"/>
      <c r="C58" s="91"/>
    </row>
  </sheetData>
  <sheetProtection sheet="1" objects="1" scenarios="1"/>
  <mergeCells count="1">
    <mergeCell ref="B2:C3"/>
  </mergeCells>
  <phoneticPr fontId="36" type="noConversion"/>
  <pageMargins left="0.7" right="0.7" top="0.75" bottom="0.75" header="0.3" footer="0.3"/>
  <pageSetup scale="80" orientation="portrait" horizontalDpi="4294967293" verticalDpi="4294967293" r:id="rId1"/>
  <headerFooter>
    <oddHeader>&amp;C&amp;"Calibri,Bold"&amp;14&amp;K000000Medium-Scale Cultchless Oyster Crop Budgets: Budget Evaluation Worksheet_x000D_</oddHeader>
  </headerFooter>
  <rowBreaks count="1" manualBreakCount="1">
    <brk id="29" max="4" man="1"/>
  </rowBreaks>
  <extLst>
    <ext xmlns:mx="http://schemas.microsoft.com/office/mac/excel/2008/main" uri="{64002731-A6B0-56B0-2670-7721B7C09600}">
      <mx:PLV Mode="1" OnePage="0" WScale="8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Menu</vt:lpstr>
      <vt:lpstr>Oyster Crop Budget</vt:lpstr>
      <vt:lpstr>Line Item Notes</vt:lpstr>
      <vt:lpstr>Budget Evaluation</vt:lpstr>
      <vt:lpstr>'Budget Evaluation'!Print_Area</vt:lpstr>
    </vt:vector>
  </TitlesOfParts>
  <Manager/>
  <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Printed>2013-04-03T16:51:10Z</cp:lastPrinted>
  <dcterms:created xsi:type="dcterms:W3CDTF">2006-09-16T00:00:00Z</dcterms:created>
  <dcterms:modified xsi:type="dcterms:W3CDTF">2014-03-17T18:23:28Z</dcterms:modified>
  <cp:category/>
</cp:coreProperties>
</file>